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xl/_rels/workbook.xml.rels" ContentType="application/vnd.openxmlformats-package.relationships+xml"/>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Start Here" sheetId="1" state="visible" r:id="rId3"/>
    <sheet name="Valuation" sheetId="2" state="visible" r:id="rId4"/>
    <sheet name="Assumptions" sheetId="3" state="visible" r:id="rId5"/>
    <sheet name="Model" sheetId="4" state="visible" r:id="rId6"/>
    <sheet name="Reverse DCF" sheetId="5" state="visible" r:id="rId7"/>
  </sheet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<sst xmlns="http://schemas.openxmlformats.org/spreadsheetml/2006/main" count="169" uniqueCount="150">
  <si>
    <t xml:space="preserve">2 Comma Investor</t>
  </si>
  <si>
    <t xml:space="preserve">twocommainvestor.com  |  DCF Equity Valuation Model  |  v1.0  |  Released August 8, 2026</t>
  </si>
  <si>
    <t xml:space="preserve">What this is</t>
  </si>
  <si>
    <t xml:space="preserve">A discounted cash flow model for valuing a single company. You forecast ten years of free cash flow, discount it at a rate that reflects risk, add a terminal value for everything after year ten, and divide by shares. The workbook also runs the calculation backwards, to show what growth rate the current share price already implies.</t>
  </si>
  <si>
    <t xml:space="preserve">How to use it</t>
  </si>
  <si>
    <t xml:space="preserve">1. Fill in the Assumptions tab. Start with the company's actual reported figures for the starting year, then make your forecast assumptions explicit.</t>
  </si>
  <si>
    <t xml:space="preserve">2. Read the Valuation tab. Check the terminal value percentage before you look at the fair value; if it is above 80%, treat the answer as a rough range.</t>
  </si>
  <si>
    <t xml:space="preserve">3. Use the sensitivity grid to see how much the answer moves with WACC and terminal growth. That spread is the honest version of your output.</t>
  </si>
  <si>
    <t xml:space="preserve">4. Read the Reverse DCF tab. It tells you what the market is assuming, which is usually more informative than what you assume.</t>
  </si>
  <si>
    <t xml:space="preserve">Cell legend</t>
  </si>
  <si>
    <t xml:space="preserve">Yellow fill, blue text</t>
  </si>
  <si>
    <t xml:space="preserve">You type here. These are the only cells you need to touch.</t>
  </si>
  <si>
    <t xml:space="preserve">Black text</t>
  </si>
  <si>
    <t xml:space="preserve">A formula. Leave it alone unless you know what you are changing.</t>
  </si>
  <si>
    <t xml:space="preserve">Green text</t>
  </si>
  <si>
    <t xml:space="preserve">Pulls a number from another tab in this workbook.</t>
  </si>
  <si>
    <t xml:space="preserve">Please read</t>
  </si>
  <si>
    <t xml:space="preserve">A DCF is not a truth machine. It is a way of making your assumptions explicit so you can argue with them. Anyone who quotes a fair value to the cent is misusing it.</t>
  </si>
  <si>
    <t xml:space="preserve">Keep every figure on the Assumptions tab in the same units (millions) and the same currency. Mixing units is the most common way these models silently break.</t>
  </si>
  <si>
    <t xml:space="preserve">Terminal growth above roughly 3% assumes the company outgrows the economy forever. The model will let you enter it; reality will not honor it.</t>
  </si>
  <si>
    <t xml:space="preserve">The Model tab is entirely formulas. If you need to change something, change it on Assumptions.</t>
  </si>
  <si>
    <t xml:space="preserve">This spreadsheet is an educational tool, not financial, tax, investment, or legal advice. Every number in it is an estimate produced by assumptions you control. It does not account for your full situation, and it can be wrong. Verify anything you plan to act on, and consult a qualified professional before making a financial decision. Provided as is, with no warranty.</t>
  </si>
  <si>
    <t xml:space="preserve">Questions or corrections: contact@twocommainvestor.com</t>
  </si>
  <si>
    <t xml:space="preserve">Valuation</t>
  </si>
  <si>
    <t xml:space="preserve">Fill in the Assumptions tab first. Everything below updates on its own.</t>
  </si>
  <si>
    <t xml:space="preserve">Terminal value, both methods</t>
  </si>
  <si>
    <t xml:space="preserve">Terminal value, perpetuity growth</t>
  </si>
  <si>
    <t xml:space="preserve">Final-year FCF grown once, divided by WACC less terminal growth.</t>
  </si>
  <si>
    <t xml:space="preserve">Terminal value, exit multiple</t>
  </si>
  <si>
    <t xml:space="preserve">Final-year EBIT times the exit multiple. A sanity check on the method above.</t>
  </si>
  <si>
    <t xml:space="preserve">Terminal value used</t>
  </si>
  <si>
    <t xml:space="preserve">Whichever method you selected on the Assumptions tab.</t>
  </si>
  <si>
    <t xml:space="preserve">PV of terminal value</t>
  </si>
  <si>
    <t xml:space="preserve">Discounted back the same number of years as the forecast.</t>
  </si>
  <si>
    <t xml:space="preserve">Enterprise to equity value</t>
  </si>
  <si>
    <t xml:space="preserve">PV of forecast free cash flow</t>
  </si>
  <si>
    <t xml:space="preserve">Sum of the ten discounted years from the Model tab.</t>
  </si>
  <si>
    <t xml:space="preserve">Enterprise value</t>
  </si>
  <si>
    <t xml:space="preserve">Terminal value as % of enterprise value</t>
  </si>
  <si>
    <t xml:space="preserve">Read this before you trust the answer. See the note below.</t>
  </si>
  <si>
    <t xml:space="preserve">Less: net debt</t>
  </si>
  <si>
    <t xml:space="preserve">Net cash is added back; net debt is subtracted.</t>
  </si>
  <si>
    <t xml:space="preserve">Equity value</t>
  </si>
  <si>
    <t xml:space="preserve">Fair value per share</t>
  </si>
  <si>
    <t xml:space="preserve">Equity value divided by diluted shares.</t>
  </si>
  <si>
    <t xml:space="preserve">Against the market</t>
  </si>
  <si>
    <t xml:space="preserve">Current share price</t>
  </si>
  <si>
    <t xml:space="preserve">Upside / (downside)</t>
  </si>
  <si>
    <t xml:space="preserve">Positive means the model thinks the shares are cheap.</t>
  </si>
  <si>
    <t xml:space="preserve">The terminal value share above is the single most important number on this tab. In most DCFs it lands between 60% and 80%, which means the majority of your answer comes from a single perpetuity formula applied to year ten, not from the ten years you carefully forecast. If that share is above roughly 80%, the model is really just a terminal value with decoration attached, and small changes to WACC or terminal growth will swing it enormously. That is not a reason to avoid a DCF. It is a reason to treat the output as a range, and to spend your effort on the discount rate rather than on year six revenue.</t>
  </si>
  <si>
    <t xml:space="preserve">Sensitivity: fair value per share</t>
  </si>
  <si>
    <t xml:space="preserve">WACC across the top, terminal growth down the side. This grid always uses the perpetuity method, so it will not track the exit-multiple option.</t>
  </si>
  <si>
    <t xml:space="preserve">Terminal g \ WACC</t>
  </si>
  <si>
    <t xml:space="preserve">The highlighted cell is your base case. Cells showing an error value are combinations where terminal growth meets or exceeds WACC, which has no finite answer.</t>
  </si>
  <si>
    <t xml:space="preserve">Assumptions</t>
  </si>
  <si>
    <t xml:space="preserve">Fill in the yellow cells. Every number in this workbook is built from this tab.</t>
  </si>
  <si>
    <t xml:space="preserve">The company</t>
  </si>
  <si>
    <t xml:space="preserve">Ticker</t>
  </si>
  <si>
    <t xml:space="preserve">EXAMPLE</t>
  </si>
  <si>
    <t xml:space="preserve">Label only. Nothing depends on it.</t>
  </si>
  <si>
    <t xml:space="preserve">Use the previous trading day's close, and write down the date.</t>
  </si>
  <si>
    <t xml:space="preserve">Price as of</t>
  </si>
  <si>
    <t xml:space="preserve">2026-08-14</t>
  </si>
  <si>
    <t xml:space="preserve">A valuation without a price date is not reproducible.</t>
  </si>
  <si>
    <t xml:space="preserve">Diluted shares outstanding (millions)</t>
  </si>
  <si>
    <t xml:space="preserve">Use diluted, not basic. Options and RSUs are a real claim on the business.</t>
  </si>
  <si>
    <t xml:space="preserve">Starting financials, most recent fiscal year</t>
  </si>
  <si>
    <t xml:space="preserve">Revenue</t>
  </si>
  <si>
    <t xml:space="preserve">In millions. Keep every figure on this tab in millions.</t>
  </si>
  <si>
    <t xml:space="preserve">EBIT margin</t>
  </si>
  <si>
    <t xml:space="preserve">Operating income divided by revenue. Use a normalized figure, not a peak one.</t>
  </si>
  <si>
    <t xml:space="preserve">Cash tax rate</t>
  </si>
  <si>
    <t xml:space="preserve">The rate you expect long term, not the one reported last quarter. Loss carryforwards expire.</t>
  </si>
  <si>
    <t xml:space="preserve">D&amp;A as % of revenue</t>
  </si>
  <si>
    <t xml:space="preserve">Depreciation and amortization.</t>
  </si>
  <si>
    <t xml:space="preserve">Capex as % of revenue</t>
  </si>
  <si>
    <t xml:space="preserve">If capex is persistently below D&amp;A, ask why. The asset base is shrinking.</t>
  </si>
  <si>
    <t xml:space="preserve">Change in NWC as % of revenue growth</t>
  </si>
  <si>
    <t xml:space="preserve">Working capital consumed per dollar of new revenue. Negative for businesses paid in advance.</t>
  </si>
  <si>
    <t xml:space="preserve">Debt and cash</t>
  </si>
  <si>
    <t xml:space="preserve">Total debt</t>
  </si>
  <si>
    <t xml:space="preserve">In millions. Include capitalized leases.</t>
  </si>
  <si>
    <t xml:space="preserve">Cash and marketable securities</t>
  </si>
  <si>
    <t xml:space="preserve">In millions.</t>
  </si>
  <si>
    <t xml:space="preserve">Net debt</t>
  </si>
  <si>
    <t xml:space="preserve">Negative means net cash, which is added to enterprise value.</t>
  </si>
  <si>
    <t xml:space="preserve">Discount rate (WACC)</t>
  </si>
  <si>
    <t xml:space="preserve">Risk-free rate</t>
  </si>
  <si>
    <t xml:space="preserve">The 10-year Treasury yield is the usual proxy.</t>
  </si>
  <si>
    <t xml:space="preserve">Equity risk premium</t>
  </si>
  <si>
    <t xml:space="preserve">Historically 4% to 6%. Damodaran publishes an updated figure.</t>
  </si>
  <si>
    <t xml:space="preserve">Beta</t>
  </si>
  <si>
    <t xml:space="preserve">1.0 moves with the market. Above 1.0 is more volatile.</t>
  </si>
  <si>
    <t xml:space="preserve">Cost of equity</t>
  </si>
  <si>
    <t xml:space="preserve">Risk-free rate plus beta times the equity risk premium (CAPM).</t>
  </si>
  <si>
    <t xml:space="preserve">Pre-tax cost of debt</t>
  </si>
  <si>
    <t xml:space="preserve">Yield on the company's own bonds if it has any.</t>
  </si>
  <si>
    <t xml:space="preserve">Debt weight in capital structure</t>
  </si>
  <si>
    <t xml:space="preserve">Debt divided by debt plus equity, at market values.</t>
  </si>
  <si>
    <t xml:space="preserve">WACC</t>
  </si>
  <si>
    <t xml:space="preserve">The rate future cash flows are discounted at. The single most powerful input here.</t>
  </si>
  <si>
    <t xml:space="preserve">Terminal value</t>
  </si>
  <si>
    <t xml:space="preserve">Terminal growth rate</t>
  </si>
  <si>
    <t xml:space="preserve">Cannot exceed long-run nominal GDP for long. Above about 3% you are assuming the company eats the economy.</t>
  </si>
  <si>
    <t xml:space="preserve">Exit EV/EBIT multiple (alternative method)</t>
  </si>
  <si>
    <t xml:space="preserve">A cross-check on the perpetuity method. If the two disagree wildly, one assumption is wrong.</t>
  </si>
  <si>
    <t xml:space="preserve">Terminal method to use</t>
  </si>
  <si>
    <t xml:space="preserve">Perpetuity</t>
  </si>
  <si>
    <t xml:space="preserve">Both are computed on the Valuation tab. This picks which one drives the answer.</t>
  </si>
  <si>
    <t xml:space="preserve">Revenue growth by year</t>
  </si>
  <si>
    <t xml:space="preserve">Enter a growth rate for each of the ten forecast years. Fading the rate down toward the terminal growth rate is more defensible than a flat number: almost nothing grows at a constant rate for a decade, and a flat high rate is the most common way a DCF quietly becomes fiction.</t>
  </si>
  <si>
    <t xml:space="preserve">Year</t>
  </si>
  <si>
    <t xml:space="preserve">Revenue growth</t>
  </si>
  <si>
    <t xml:space="preserve">Year 1</t>
  </si>
  <si>
    <t xml:space="preserve">Year 2</t>
  </si>
  <si>
    <t xml:space="preserve">Year 3</t>
  </si>
  <si>
    <t xml:space="preserve">Year 4</t>
  </si>
  <si>
    <t xml:space="preserve">Year 5</t>
  </si>
  <si>
    <t xml:space="preserve">Year 6</t>
  </si>
  <si>
    <t xml:space="preserve">Year 7</t>
  </si>
  <si>
    <t xml:space="preserve">Year 8</t>
  </si>
  <si>
    <t xml:space="preserve">Year 9</t>
  </si>
  <si>
    <t xml:space="preserve">Year 10</t>
  </si>
  <si>
    <t xml:space="preserve">EBIT margin per year lets you model operating leverage or margin decay. Flat is fine if you have no view.</t>
  </si>
  <si>
    <t xml:space="preserve">Free Cash Flow Forecast</t>
  </si>
  <si>
    <t xml:space="preserve">Every cell here is a formula. Change the Assumptions tab, not this one.</t>
  </si>
  <si>
    <t xml:space="preserve">$ millions</t>
  </si>
  <si>
    <t xml:space="preserve">Year 0</t>
  </si>
  <si>
    <t xml:space="preserve">  growth %</t>
  </si>
  <si>
    <t xml:space="preserve">–</t>
  </si>
  <si>
    <t xml:space="preserve">EBIT</t>
  </si>
  <si>
    <t xml:space="preserve">  EBIT margin %</t>
  </si>
  <si>
    <t xml:space="preserve">Cash taxes</t>
  </si>
  <si>
    <t xml:space="preserve">NOPAT</t>
  </si>
  <si>
    <t xml:space="preserve">Add: D&amp;A</t>
  </si>
  <si>
    <t xml:space="preserve">Less: capex</t>
  </si>
  <si>
    <t xml:space="preserve">Less: change in NWC</t>
  </si>
  <si>
    <t xml:space="preserve">Free cash flow</t>
  </si>
  <si>
    <t xml:space="preserve">Discount factor</t>
  </si>
  <si>
    <t xml:space="preserve">PV of free cash flow</t>
  </si>
  <si>
    <t xml:space="preserve">Sum of PV, forecast period</t>
  </si>
  <si>
    <t xml:space="preserve">Note what this section does not include: the terminal value, which is usually the majority of the answer. It is computed on the Valuation tab, where you can see what share of the total it represents.</t>
  </si>
  <si>
    <t xml:space="preserve">Reverse DCF</t>
  </si>
  <si>
    <t xml:space="preserve">Instead of asking what the company is worth, ask what today's price already assumes.</t>
  </si>
  <si>
    <t xml:space="preserve">A forward DCF tells you what you think. A reverse DCF tells you what the market thinks, which is usually the more useful of the two. It removes your growth forecast and solves the other way: holding every other assumption fixed, what constant revenue growth rate would justify the current share price?
Read down the table until the final column crosses zero. That growth rate is the market's implied expectation. Then ask one question: is that rate more or less likely than the one you put in yourself?</t>
  </si>
  <si>
    <t xml:space="preserve">Constant growth</t>
  </si>
  <si>
    <t xml:space="preserve">Fair value / share</t>
  </si>
  <si>
    <t xml:space="preserve">Vs. price</t>
  </si>
  <si>
    <t xml:space="preserve">Reading</t>
  </si>
  <si>
    <t xml:space="preserve">This table holds the EBIT margin, tax rate, capex, D&amp;A, working capital, WACC and terminal growth from the Assumptions tab constant, and flexes only revenue growth, applied at a constant rate rather than the fading schedule on the Model tab. It will therefore not exactly reconcile to the Valuation tab, and it is not supposed to. Its job is to give you one number to argue with: the growth rate the market is paying for.</t>
  </si>
</sst>
</file>

<file path=xl/styles.xml><?xml version="1.0" encoding="utf-8"?>
<styleSheet xmlns="http://schemas.openxmlformats.org/spreadsheetml/2006/main">
  <numFmts count="7">
    <numFmt numFmtId="164" formatCode="General"/>
    <numFmt numFmtId="165" formatCode="#,##0.0"/>
    <numFmt numFmtId="166" formatCode="0.0%;\(0.0%\);\-"/>
    <numFmt numFmtId="167" formatCode="\$#,##0.00;&quot;($&quot;#,##0.00\);\-"/>
    <numFmt numFmtId="168" formatCode="#,##0.00"/>
    <numFmt numFmtId="169" formatCode="0.00%;\(0.00%\);\-"/>
    <numFmt numFmtId="170" formatCode="0.0\x"/>
  </numFmts>
  <fonts count="22">
    <font>
      <sz val="11"/>
      <color theme="1"/>
      <name val="Calibri"/>
      <family val="2"/>
      <charset val="1"/>
    </font>
    <font>
      <sz val="10"/>
      <name val="Arial"/>
      <family val="0"/>
    </font>
    <font>
      <sz val="10"/>
      <name val="Arial"/>
      <family val="0"/>
    </font>
    <font>
      <sz val="10"/>
      <name val="Arial"/>
      <family val="0"/>
    </font>
    <font>
      <b val="true"/>
      <sz val="18"/>
      <color rgb="FF1F3A5F"/>
      <name val="Arial"/>
      <family val="0"/>
      <charset val="1"/>
    </font>
    <font>
      <i val="true"/>
      <sz val="10"/>
      <color rgb="FF5A6472"/>
      <name val="Arial"/>
      <family val="0"/>
      <charset val="1"/>
    </font>
    <font>
      <b val="true"/>
      <sz val="10"/>
      <color rgb="FF1A1A1A"/>
      <name val="Arial"/>
      <family val="0"/>
      <charset val="1"/>
    </font>
    <font>
      <sz val="10"/>
      <color rgb="FF1A1A1A"/>
      <name val="Arial"/>
      <family val="0"/>
      <charset val="1"/>
    </font>
    <font>
      <b val="true"/>
      <sz val="11"/>
      <color rgb="FF1A1A1A"/>
      <name val="Arial"/>
      <family val="0"/>
      <charset val="1"/>
    </font>
    <font>
      <sz val="10"/>
      <color rgb="FF0000FF"/>
      <name val="Arial"/>
      <family val="0"/>
      <charset val="1"/>
    </font>
    <font>
      <i val="true"/>
      <sz val="9"/>
      <color rgb="FF5A6472"/>
      <name val="Arial"/>
      <family val="0"/>
      <charset val="1"/>
    </font>
    <font>
      <b val="true"/>
      <sz val="16"/>
      <color rgb="FF1F3A5F"/>
      <name val="Arial"/>
      <family val="0"/>
      <charset val="1"/>
    </font>
    <font>
      <b val="true"/>
      <sz val="13"/>
      <color rgb="FF1F3A5F"/>
      <name val="Arial"/>
      <family val="0"/>
      <charset val="1"/>
    </font>
    <font>
      <i val="true"/>
      <sz val="10"/>
      <color rgb="FF1F3A5F"/>
      <name val="Arial"/>
      <family val="0"/>
      <charset val="1"/>
    </font>
    <font>
      <i val="true"/>
      <sz val="9"/>
      <color rgb="FF1F3A5F"/>
      <name val="Arial"/>
      <family val="0"/>
      <charset val="1"/>
    </font>
    <font>
      <b val="true"/>
      <sz val="8.5"/>
      <color rgb="FFFFFFFF"/>
      <name val="Arial"/>
      <family val="0"/>
      <charset val="1"/>
    </font>
    <font>
      <b val="true"/>
      <sz val="9"/>
      <color rgb="FFFFFFFF"/>
      <name val="Arial"/>
      <family val="0"/>
      <charset val="1"/>
    </font>
    <font>
      <b val="true"/>
      <sz val="9"/>
      <color rgb="FF1A1A1A"/>
      <name val="Arial"/>
      <family val="0"/>
      <charset val="1"/>
    </font>
    <font>
      <sz val="9"/>
      <color rgb="FF1A1A1A"/>
      <name val="Arial"/>
      <family val="0"/>
      <charset val="1"/>
    </font>
    <font>
      <b val="true"/>
      <sz val="11"/>
      <color rgb="FF1F3A5F"/>
      <name val="Arial"/>
      <family val="0"/>
      <charset val="1"/>
    </font>
    <font>
      <b val="true"/>
      <sz val="10"/>
      <color rgb="FFFFFFFF"/>
      <name val="Arial"/>
      <family val="0"/>
      <charset val="1"/>
    </font>
    <font>
      <sz val="10"/>
      <color rgb="FF9AA5B4"/>
      <name val="Arial"/>
      <family val="0"/>
      <charset val="1"/>
    </font>
  </fonts>
  <fills count="8">
    <fill>
      <patternFill patternType="none"/>
    </fill>
    <fill>
      <patternFill patternType="gray125"/>
    </fill>
    <fill>
      <patternFill patternType="solid">
        <fgColor rgb="FFFFF6D5"/>
        <bgColor rgb="FFFFF3CF"/>
      </patternFill>
    </fill>
    <fill>
      <patternFill patternType="solid">
        <fgColor rgb="FFDCE4EE"/>
        <bgColor rgb="FFEEF2F7"/>
      </patternFill>
    </fill>
    <fill>
      <patternFill patternType="solid">
        <fgColor rgb="FF1F3A5F"/>
        <bgColor rgb="FF333399"/>
      </patternFill>
    </fill>
    <fill>
      <patternFill patternType="solid">
        <fgColor rgb="FFFFF3CF"/>
        <bgColor rgb="FFFFF6D5"/>
      </patternFill>
    </fill>
    <fill>
      <patternFill patternType="solid">
        <fgColor rgb="FFFFE08A"/>
        <bgColor rgb="FFFFF3CF"/>
      </patternFill>
    </fill>
    <fill>
      <patternFill patternType="solid">
        <fgColor rgb="FFEEF2F7"/>
        <bgColor rgb="FFFFFFFF"/>
      </patternFill>
    </fill>
  </fills>
  <borders count="3">
    <border diagonalUp="false" diagonalDown="false">
      <left/>
      <right/>
      <top/>
      <bottom/>
      <diagonal/>
    </border>
    <border diagonalUp="false" diagonalDown="false">
      <left style="thin">
        <color rgb="FFB8C4D4"/>
      </left>
      <right style="thin">
        <color rgb="FFB8C4D4"/>
      </right>
      <top style="thin">
        <color rgb="FFB8C4D4"/>
      </top>
      <bottom style="thin">
        <color rgb="FFB8C4D4"/>
      </bottom>
      <diagonal/>
    </border>
    <border diagonalUp="false" diagonalDown="false">
      <left/>
      <right/>
      <top/>
      <bottom style="thin">
        <color rgb="FFB8C4D4"/>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57">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false" applyAlignment="false" applyProtection="false">
      <alignment horizontal="general" vertical="bottom" textRotation="0" wrapText="false" indent="0" shrinkToFit="false"/>
      <protection locked="true" hidden="false"/>
    </xf>
    <xf numFmtId="164" fontId="5" fillId="0" borderId="0" xfId="0" applyFont="true" applyBorder="false" applyAlignment="false" applyProtection="false">
      <alignment horizontal="general" vertical="bottom" textRotation="0" wrapText="false" indent="0" shrinkToFit="false"/>
      <protection locked="true" hidden="false"/>
    </xf>
    <xf numFmtId="164" fontId="6" fillId="0" borderId="0" xfId="0" applyFont="true" applyBorder="false" applyAlignment="true" applyProtection="false">
      <alignment horizontal="left" vertical="center" textRotation="0" wrapText="false" indent="0" shrinkToFit="false"/>
      <protection locked="true" hidden="false"/>
    </xf>
    <xf numFmtId="164" fontId="7" fillId="0" borderId="0" xfId="0" applyFont="true" applyBorder="false" applyAlignment="true" applyProtection="false">
      <alignment horizontal="general" vertical="top" textRotation="0" wrapText="true" indent="0" shrinkToFit="false"/>
      <protection locked="true" hidden="false"/>
    </xf>
    <xf numFmtId="164" fontId="8" fillId="0" borderId="0" xfId="0" applyFont="true" applyBorder="false" applyAlignment="true" applyProtection="false">
      <alignment horizontal="left" vertical="center" textRotation="0" wrapText="false" indent="0" shrinkToFit="false"/>
      <protection locked="true" hidden="false"/>
    </xf>
    <xf numFmtId="164" fontId="9" fillId="2" borderId="0" xfId="0" applyFont="true" applyBorder="false" applyAlignment="true" applyProtection="false">
      <alignment horizontal="left" vertical="center" textRotation="0" wrapText="false" indent="0" shrinkToFit="false"/>
      <protection locked="true" hidden="false"/>
    </xf>
    <xf numFmtId="164" fontId="7" fillId="0" borderId="0" xfId="0" applyFont="true" applyBorder="false" applyAlignment="true" applyProtection="false">
      <alignment horizontal="left" vertical="center" textRotation="0" wrapText="false" indent="0" shrinkToFit="false"/>
      <protection locked="true" hidden="false"/>
    </xf>
    <xf numFmtId="164" fontId="10" fillId="0" borderId="0" xfId="0" applyFont="true" applyBorder="true" applyAlignment="true" applyProtection="false">
      <alignment horizontal="general" vertical="top" textRotation="0" wrapText="true" indent="0" shrinkToFit="false"/>
      <protection locked="true" hidden="false"/>
    </xf>
    <xf numFmtId="164" fontId="11" fillId="0" borderId="0" xfId="0" applyFont="true" applyBorder="false" applyAlignment="false" applyProtection="false">
      <alignment horizontal="general" vertical="bottom" textRotation="0" wrapText="false" indent="0" shrinkToFit="false"/>
      <protection locked="true" hidden="false"/>
    </xf>
    <xf numFmtId="164" fontId="6" fillId="3" borderId="0" xfId="0" applyFont="true" applyBorder="false" applyAlignment="false" applyProtection="false">
      <alignment horizontal="general" vertical="bottom" textRotation="0" wrapText="false" indent="0" shrinkToFit="false"/>
      <protection locked="true" hidden="false"/>
    </xf>
    <xf numFmtId="165" fontId="6" fillId="0" borderId="0" xfId="0" applyFont="true" applyBorder="false" applyAlignment="true" applyProtection="false">
      <alignment horizontal="right" vertical="center" textRotation="0" wrapText="false" indent="0" shrinkToFit="false"/>
      <protection locked="true" hidden="false"/>
    </xf>
    <xf numFmtId="164" fontId="10" fillId="0" borderId="0" xfId="0" applyFont="true" applyBorder="false" applyAlignment="true" applyProtection="false">
      <alignment horizontal="left" vertical="center" textRotation="0" wrapText="true" indent="0" shrinkToFit="false"/>
      <protection locked="true" hidden="false"/>
    </xf>
    <xf numFmtId="165" fontId="12" fillId="0" borderId="0" xfId="0" applyFont="true" applyBorder="false" applyAlignment="true" applyProtection="false">
      <alignment horizontal="right" vertical="center" textRotation="0" wrapText="false" indent="0" shrinkToFit="false"/>
      <protection locked="true" hidden="false"/>
    </xf>
    <xf numFmtId="166" fontId="6" fillId="0" borderId="0" xfId="0" applyFont="true" applyBorder="false" applyAlignment="true" applyProtection="false">
      <alignment horizontal="right" vertical="center" textRotation="0" wrapText="false" indent="0" shrinkToFit="false"/>
      <protection locked="true" hidden="false"/>
    </xf>
    <xf numFmtId="167" fontId="12" fillId="0" borderId="0" xfId="0" applyFont="true" applyBorder="false" applyAlignment="true" applyProtection="false">
      <alignment horizontal="right" vertical="center" textRotation="0" wrapText="false" indent="0" shrinkToFit="false"/>
      <protection locked="true" hidden="false"/>
    </xf>
    <xf numFmtId="167" fontId="6" fillId="0" borderId="0" xfId="0" applyFont="true" applyBorder="false" applyAlignment="true" applyProtection="false">
      <alignment horizontal="right" vertical="center" textRotation="0" wrapText="false" indent="0" shrinkToFit="false"/>
      <protection locked="true" hidden="false"/>
    </xf>
    <xf numFmtId="166" fontId="12" fillId="0" borderId="0" xfId="0" applyFont="true" applyBorder="false" applyAlignment="true" applyProtection="false">
      <alignment horizontal="right" vertical="center" textRotation="0" wrapText="false" indent="0" shrinkToFit="false"/>
      <protection locked="true" hidden="false"/>
    </xf>
    <xf numFmtId="164" fontId="13" fillId="0" borderId="0" xfId="0" applyFont="true" applyBorder="true" applyAlignment="true" applyProtection="false">
      <alignment horizontal="right" vertical="center" textRotation="0" wrapText="false" indent="0" shrinkToFit="false"/>
      <protection locked="true" hidden="false"/>
    </xf>
    <xf numFmtId="164" fontId="14" fillId="0" borderId="0" xfId="0" applyFont="true" applyBorder="true" applyAlignment="true" applyProtection="false">
      <alignment horizontal="general" vertical="top" textRotation="0" wrapText="true" indent="0" shrinkToFit="false"/>
      <protection locked="true" hidden="false"/>
    </xf>
    <xf numFmtId="164" fontId="15" fillId="4" borderId="0" xfId="0" applyFont="true" applyBorder="false" applyAlignment="true" applyProtection="false">
      <alignment horizontal="center" vertical="center" textRotation="0" wrapText="true" indent="0" shrinkToFit="false"/>
      <protection locked="true" hidden="false"/>
    </xf>
    <xf numFmtId="166" fontId="16" fillId="4" borderId="0" xfId="0" applyFont="true" applyBorder="false" applyAlignment="true" applyProtection="false">
      <alignment horizontal="center" vertical="center" textRotation="0" wrapText="false" indent="0" shrinkToFit="false"/>
      <protection locked="true" hidden="false"/>
    </xf>
    <xf numFmtId="166" fontId="17" fillId="3" borderId="0" xfId="0" applyFont="true" applyBorder="false" applyAlignment="true" applyProtection="false">
      <alignment horizontal="center" vertical="center" textRotation="0" wrapText="false" indent="0" shrinkToFit="false"/>
      <protection locked="true" hidden="false"/>
    </xf>
    <xf numFmtId="167" fontId="18" fillId="0" borderId="1" xfId="0" applyFont="true" applyBorder="true" applyAlignment="true" applyProtection="false">
      <alignment horizontal="right" vertical="center" textRotation="0" wrapText="false" indent="0" shrinkToFit="false"/>
      <protection locked="true" hidden="false"/>
    </xf>
    <xf numFmtId="167" fontId="17" fillId="5" borderId="1" xfId="0" applyFont="true" applyBorder="true" applyAlignment="true" applyProtection="false">
      <alignment horizontal="right" vertical="center" textRotation="0" wrapText="false" indent="0" shrinkToFit="false"/>
      <protection locked="true" hidden="false"/>
    </xf>
    <xf numFmtId="164" fontId="9" fillId="2" borderId="1" xfId="0" applyFont="true" applyBorder="true" applyAlignment="true" applyProtection="false">
      <alignment horizontal="center" vertical="center" textRotation="0" wrapText="false" indent="0" shrinkToFit="false"/>
      <protection locked="true" hidden="false"/>
    </xf>
    <xf numFmtId="164" fontId="10" fillId="0" borderId="0" xfId="0" applyFont="true" applyBorder="false" applyAlignment="false" applyProtection="false">
      <alignment horizontal="general" vertical="bottom" textRotation="0" wrapText="false" indent="0" shrinkToFit="false"/>
      <protection locked="true" hidden="false"/>
    </xf>
    <xf numFmtId="167" fontId="9" fillId="2" borderId="1" xfId="0" applyFont="true" applyBorder="true" applyAlignment="true" applyProtection="false">
      <alignment horizontal="right" vertical="center" textRotation="0" wrapText="false" indent="0" shrinkToFit="false"/>
      <protection locked="true" hidden="false"/>
    </xf>
    <xf numFmtId="165" fontId="9" fillId="2" borderId="1" xfId="0" applyFont="true" applyBorder="true" applyAlignment="true" applyProtection="false">
      <alignment horizontal="right" vertical="center" textRotation="0" wrapText="false" indent="0" shrinkToFit="false"/>
      <protection locked="true" hidden="false"/>
    </xf>
    <xf numFmtId="166" fontId="9" fillId="2" borderId="1" xfId="0" applyFont="true" applyBorder="true" applyAlignment="true" applyProtection="false">
      <alignment horizontal="right" vertical="center" textRotation="0" wrapText="false" indent="0" shrinkToFit="false"/>
      <protection locked="true" hidden="false"/>
    </xf>
    <xf numFmtId="166" fontId="9" fillId="6" borderId="1" xfId="0" applyFont="true" applyBorder="true" applyAlignment="true" applyProtection="false">
      <alignment horizontal="right" vertical="center" textRotation="0" wrapText="false" indent="0" shrinkToFit="false"/>
      <protection locked="true" hidden="false"/>
    </xf>
    <xf numFmtId="168" fontId="9" fillId="2" borderId="1" xfId="0" applyFont="true" applyBorder="true" applyAlignment="true" applyProtection="false">
      <alignment horizontal="right" vertical="center" textRotation="0" wrapText="false" indent="0" shrinkToFit="false"/>
      <protection locked="true" hidden="false"/>
    </xf>
    <xf numFmtId="169" fontId="6" fillId="0" borderId="0" xfId="0" applyFont="true" applyBorder="false" applyAlignment="true" applyProtection="false">
      <alignment horizontal="right" vertical="center" textRotation="0" wrapText="false" indent="0" shrinkToFit="false"/>
      <protection locked="true" hidden="false"/>
    </xf>
    <xf numFmtId="169" fontId="19" fillId="6" borderId="0" xfId="0" applyFont="true" applyBorder="false" applyAlignment="true" applyProtection="false">
      <alignment horizontal="right" vertical="center" textRotation="0" wrapText="false" indent="0" shrinkToFit="false"/>
      <protection locked="true" hidden="false"/>
    </xf>
    <xf numFmtId="170" fontId="9" fillId="2" borderId="1" xfId="0" applyFont="true" applyBorder="true" applyAlignment="true" applyProtection="false">
      <alignment horizontal="right" vertical="center" textRotation="0" wrapText="false" indent="0" shrinkToFit="false"/>
      <protection locked="true" hidden="false"/>
    </xf>
    <xf numFmtId="164" fontId="20" fillId="4" borderId="0" xfId="0" applyFont="true" applyBorder="false" applyAlignment="true" applyProtection="false">
      <alignment horizontal="center" vertical="center" textRotation="0" wrapText="true" indent="0" shrinkToFit="false"/>
      <protection locked="true" hidden="false"/>
    </xf>
    <xf numFmtId="164" fontId="16" fillId="4" borderId="0" xfId="0" applyFont="true" applyBorder="false" applyAlignment="true" applyProtection="false">
      <alignment horizontal="center" vertical="center" textRotation="0" wrapText="false" indent="0" shrinkToFit="false"/>
      <protection locked="true" hidden="false"/>
    </xf>
    <xf numFmtId="164" fontId="6" fillId="7" borderId="0" xfId="0" applyFont="true" applyBorder="false" applyAlignment="true" applyProtection="false">
      <alignment horizontal="left" vertical="center" textRotation="0" wrapText="false" indent="0" shrinkToFit="false"/>
      <protection locked="true" hidden="false"/>
    </xf>
    <xf numFmtId="165" fontId="6" fillId="7" borderId="0" xfId="0" applyFont="true" applyBorder="false" applyAlignment="true" applyProtection="false">
      <alignment horizontal="right" vertical="center" textRotation="0" wrapText="false" indent="0" shrinkToFit="false"/>
      <protection locked="true" hidden="false"/>
    </xf>
    <xf numFmtId="164" fontId="21" fillId="0" borderId="0" xfId="0" applyFont="true" applyBorder="false" applyAlignment="true" applyProtection="false">
      <alignment horizontal="right" vertical="bottom" textRotation="0" wrapText="false" indent="0" shrinkToFit="false"/>
      <protection locked="true" hidden="false"/>
    </xf>
    <xf numFmtId="166" fontId="7" fillId="0" borderId="0" xfId="0" applyFont="true" applyBorder="false" applyAlignment="true" applyProtection="false">
      <alignment horizontal="right" vertical="center" textRotation="0" wrapText="false" indent="0" shrinkToFit="false"/>
      <protection locked="true" hidden="false"/>
    </xf>
    <xf numFmtId="165" fontId="7" fillId="0" borderId="0" xfId="0" applyFont="true" applyBorder="false" applyAlignment="true" applyProtection="false">
      <alignment horizontal="right" vertical="center" textRotation="0" wrapText="false" indent="0" shrinkToFit="false"/>
      <protection locked="true" hidden="false"/>
    </xf>
    <xf numFmtId="164" fontId="7" fillId="0" borderId="2" xfId="0" applyFont="true" applyBorder="true" applyAlignment="true" applyProtection="false">
      <alignment horizontal="left" vertical="center" textRotation="0" wrapText="false" indent="0" shrinkToFit="false"/>
      <protection locked="true" hidden="false"/>
    </xf>
    <xf numFmtId="166" fontId="7" fillId="0" borderId="2" xfId="0" applyFont="true" applyBorder="true" applyAlignment="true" applyProtection="false">
      <alignment horizontal="right" vertical="center" textRotation="0" wrapText="false" indent="0" shrinkToFit="false"/>
      <protection locked="true" hidden="false"/>
    </xf>
    <xf numFmtId="164" fontId="21" fillId="0" borderId="2" xfId="0" applyFont="true" applyBorder="true" applyAlignment="true" applyProtection="false">
      <alignment horizontal="right" vertical="bottom" textRotation="0" wrapText="false" indent="0" shrinkToFit="false"/>
      <protection locked="true" hidden="false"/>
    </xf>
    <xf numFmtId="165" fontId="7" fillId="0" borderId="2" xfId="0" applyFont="true" applyBorder="true" applyAlignment="true" applyProtection="false">
      <alignment horizontal="right" vertical="center" textRotation="0" wrapText="false" indent="0" shrinkToFit="false"/>
      <protection locked="true" hidden="false"/>
    </xf>
    <xf numFmtId="164" fontId="21" fillId="7" borderId="0" xfId="0" applyFont="true" applyBorder="false" applyAlignment="true" applyProtection="false">
      <alignment horizontal="right" vertical="bottom" textRotation="0" wrapText="false" indent="0" shrinkToFit="false"/>
      <protection locked="true" hidden="false"/>
    </xf>
    <xf numFmtId="168" fontId="7" fillId="0" borderId="0" xfId="0" applyFont="true" applyBorder="false" applyAlignment="true" applyProtection="false">
      <alignment horizontal="right" vertical="center" textRotation="0" wrapText="false" indent="0" shrinkToFit="false"/>
      <protection locked="true" hidden="false"/>
    </xf>
    <xf numFmtId="164" fontId="0" fillId="7" borderId="0" xfId="0" applyFont="false" applyBorder="false" applyAlignment="false" applyProtection="false">
      <alignment horizontal="general" vertical="bottom" textRotation="0" wrapText="false" indent="0" shrinkToFit="false"/>
      <protection locked="true" hidden="false"/>
    </xf>
    <xf numFmtId="164" fontId="7" fillId="0" borderId="0" xfId="0" applyFont="true" applyBorder="true" applyAlignment="true" applyProtection="false">
      <alignment horizontal="general" vertical="top" textRotation="0" wrapText="true" indent="0" shrinkToFit="false"/>
      <protection locked="true" hidden="false"/>
    </xf>
    <xf numFmtId="166" fontId="7" fillId="7" borderId="0" xfId="0" applyFont="true" applyBorder="false" applyAlignment="true" applyProtection="false">
      <alignment horizontal="center" vertical="center" textRotation="0" wrapText="false" indent="0" shrinkToFit="false"/>
      <protection locked="true" hidden="false"/>
    </xf>
    <xf numFmtId="167" fontId="7" fillId="7" borderId="0" xfId="0" applyFont="true" applyBorder="false" applyAlignment="true" applyProtection="false">
      <alignment horizontal="right" vertical="center" textRotation="0" wrapText="false" indent="0" shrinkToFit="false"/>
      <protection locked="true" hidden="false"/>
    </xf>
    <xf numFmtId="166" fontId="7" fillId="7" borderId="0" xfId="0" applyFont="true" applyBorder="false" applyAlignment="true" applyProtection="false">
      <alignment horizontal="right" vertical="center" textRotation="0" wrapText="false" indent="0" shrinkToFit="false"/>
      <protection locked="true" hidden="false"/>
    </xf>
    <xf numFmtId="164" fontId="10" fillId="7" borderId="0" xfId="0" applyFont="true" applyBorder="false" applyAlignment="true" applyProtection="false">
      <alignment horizontal="left" vertical="center" textRotation="0" wrapText="false" indent="0" shrinkToFit="false"/>
      <protection locked="true" hidden="false"/>
    </xf>
    <xf numFmtId="166" fontId="7" fillId="0" borderId="0" xfId="0" applyFont="true" applyBorder="false" applyAlignment="true" applyProtection="false">
      <alignment horizontal="center" vertical="center" textRotation="0" wrapText="false" indent="0" shrinkToFit="false"/>
      <protection locked="true" hidden="false"/>
    </xf>
    <xf numFmtId="167" fontId="7" fillId="0" borderId="0" xfId="0" applyFont="true" applyBorder="false" applyAlignment="true" applyProtection="false">
      <alignment horizontal="right" vertical="center" textRotation="0" wrapText="false" indent="0" shrinkToFit="false"/>
      <protection locked="true" hidden="false"/>
    </xf>
    <xf numFmtId="164" fontId="10" fillId="0" borderId="0" xfId="0" applyFont="true" applyBorder="false" applyAlignment="true" applyProtection="false">
      <alignment horizontal="left" vertical="center" textRotation="0" wrapText="fals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8C4D4"/>
      <rgbColor rgb="FF808080"/>
      <rgbColor rgb="FF9999FF"/>
      <rgbColor rgb="FF993366"/>
      <rgbColor rgb="FFFFF6D5"/>
      <rgbColor rgb="FFEEF2F7"/>
      <rgbColor rgb="FF660066"/>
      <rgbColor rgb="FFFF8080"/>
      <rgbColor rgb="FF0066CC"/>
      <rgbColor rgb="FFDCE4EE"/>
      <rgbColor rgb="FF000080"/>
      <rgbColor rgb="FFFF00FF"/>
      <rgbColor rgb="FFFFFF00"/>
      <rgbColor rgb="FF00FFFF"/>
      <rgbColor rgb="FF800080"/>
      <rgbColor rgb="FF800000"/>
      <rgbColor rgb="FF008080"/>
      <rgbColor rgb="FF0000FF"/>
      <rgbColor rgb="FF00CCFF"/>
      <rgbColor rgb="FFCCFFFF"/>
      <rgbColor rgb="FFCCFFCC"/>
      <rgbColor rgb="FFFFF3CF"/>
      <rgbColor rgb="FF99CCFF"/>
      <rgbColor rgb="FFFF99CC"/>
      <rgbColor rgb="FFCC99FF"/>
      <rgbColor rgb="FFFFE08A"/>
      <rgbColor rgb="FF3366FF"/>
      <rgbColor rgb="FF33CCCC"/>
      <rgbColor rgb="FF99CC00"/>
      <rgbColor rgb="FFFFCC00"/>
      <rgbColor rgb="FFFF9900"/>
      <rgbColor rgb="FFFF6600"/>
      <rgbColor rgb="FF5A6472"/>
      <rgbColor rgb="FF9AA5B4"/>
      <rgbColor rgb="FF1F3A5F"/>
      <rgbColor rgb="FF339966"/>
      <rgbColor rgb="FF003300"/>
      <rgbColor rgb="FF333300"/>
      <rgbColor rgb="FF993300"/>
      <rgbColor rgb="FF993366"/>
      <rgbColor rgb="FF333399"/>
      <rgbColor rgb="FF1A1A1A"/>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worksheet" Target="worksheets/sheet4.xml"/><Relationship Id="rId7" Type="http://schemas.openxmlformats.org/officeDocument/2006/relationships/worksheet" Target="worksheets/sheet5.xml"/><Relationship Id="rId8" Type="http://schemas.openxmlformats.org/officeDocument/2006/relationships/sharedStrings" Target="sharedStrings.xml"/>
</Relationships>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B2:C26"/>
  <sheetViews>
    <sheetView showFormulas="false" showGridLines="false" showRowColHeaders="true" showZeros="true" rightToLeft="false" tabSelected="tru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3"/>
    <col collapsed="false" customWidth="true" hidden="false" outlineLevel="0" max="2" min="2" style="0" width="26"/>
    <col collapsed="false" customWidth="true" hidden="false" outlineLevel="0" max="3" min="3" style="0" width="78"/>
  </cols>
  <sheetData>
    <row r="2" customFormat="false" ht="22.05" hidden="false" customHeight="false" outlineLevel="0" collapsed="false">
      <c r="B2" s="1" t="s">
        <v>0</v>
      </c>
    </row>
    <row r="3" customFormat="false" ht="15" hidden="false" customHeight="false" outlineLevel="0" collapsed="false">
      <c r="B3" s="2" t="s">
        <v>1</v>
      </c>
    </row>
    <row r="5" customFormat="false" ht="45.75" hidden="false" customHeight="true" outlineLevel="0" collapsed="false">
      <c r="B5" s="3" t="s">
        <v>2</v>
      </c>
      <c r="C5" s="4" t="s">
        <v>3</v>
      </c>
    </row>
    <row r="7" customFormat="false" ht="15" hidden="false" customHeight="false" outlineLevel="0" collapsed="false">
      <c r="B7" s="5" t="s">
        <v>4</v>
      </c>
    </row>
    <row r="8" customFormat="false" ht="30" hidden="false" customHeight="true" outlineLevel="0" collapsed="false">
      <c r="C8" s="4" t="s">
        <v>5</v>
      </c>
    </row>
    <row r="9" customFormat="false" ht="30" hidden="false" customHeight="true" outlineLevel="0" collapsed="false">
      <c r="C9" s="4" t="s">
        <v>6</v>
      </c>
    </row>
    <row r="10" customFormat="false" ht="30" hidden="false" customHeight="true" outlineLevel="0" collapsed="false">
      <c r="C10" s="4" t="s">
        <v>7</v>
      </c>
    </row>
    <row r="11" customFormat="false" ht="30" hidden="false" customHeight="true" outlineLevel="0" collapsed="false">
      <c r="C11" s="4" t="s">
        <v>8</v>
      </c>
    </row>
    <row r="13" customFormat="false" ht="15" hidden="false" customHeight="false" outlineLevel="0" collapsed="false">
      <c r="B13" s="5" t="s">
        <v>9</v>
      </c>
    </row>
    <row r="14" customFormat="false" ht="15" hidden="false" customHeight="false" outlineLevel="0" collapsed="false">
      <c r="B14" s="6" t="s">
        <v>10</v>
      </c>
      <c r="C14" s="7" t="s">
        <v>11</v>
      </c>
    </row>
    <row r="15" customFormat="false" ht="15" hidden="false" customHeight="false" outlineLevel="0" collapsed="false">
      <c r="B15" s="6" t="s">
        <v>12</v>
      </c>
      <c r="C15" s="7" t="s">
        <v>13</v>
      </c>
    </row>
    <row r="16" customFormat="false" ht="15" hidden="false" customHeight="false" outlineLevel="0" collapsed="false">
      <c r="B16" s="6" t="s">
        <v>14</v>
      </c>
      <c r="C16" s="7" t="s">
        <v>15</v>
      </c>
    </row>
    <row r="18" customFormat="false" ht="15" hidden="false" customHeight="false" outlineLevel="0" collapsed="false">
      <c r="B18" s="5" t="s">
        <v>16</v>
      </c>
    </row>
    <row r="19" customFormat="false" ht="30" hidden="false" customHeight="true" outlineLevel="0" collapsed="false">
      <c r="C19" s="4" t="s">
        <v>17</v>
      </c>
    </row>
    <row r="20" customFormat="false" ht="30" hidden="false" customHeight="true" outlineLevel="0" collapsed="false">
      <c r="C20" s="4" t="s">
        <v>18</v>
      </c>
    </row>
    <row r="21" customFormat="false" ht="30" hidden="false" customHeight="true" outlineLevel="0" collapsed="false">
      <c r="C21" s="4" t="s">
        <v>19</v>
      </c>
    </row>
    <row r="22" customFormat="false" ht="30" hidden="false" customHeight="true" outlineLevel="0" collapsed="false">
      <c r="C22" s="4" t="s">
        <v>20</v>
      </c>
    </row>
    <row r="24" customFormat="false" ht="57.75" hidden="false" customHeight="true" outlineLevel="0" collapsed="false">
      <c r="B24" s="8" t="s">
        <v>21</v>
      </c>
      <c r="C24" s="8"/>
    </row>
    <row r="26" customFormat="false" ht="15" hidden="false" customHeight="false" outlineLevel="0" collapsed="false">
      <c r="B26" s="2" t="s">
        <v>22</v>
      </c>
    </row>
  </sheetData>
  <mergeCells count="1">
    <mergeCell ref="B24:C24"/>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B2:G36"/>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3"/>
    <col collapsed="false" customWidth="true" hidden="false" outlineLevel="0" max="2" min="2" style="0" width="40"/>
    <col collapsed="false" customWidth="true" hidden="false" outlineLevel="0" max="3" min="3" style="0" width="18"/>
    <col collapsed="false" customWidth="true" hidden="false" outlineLevel="0" max="4" min="4" style="0" width="58"/>
  </cols>
  <sheetData>
    <row r="2" customFormat="false" ht="19.7" hidden="false" customHeight="false" outlineLevel="0" collapsed="false">
      <c r="B2" s="9" t="s">
        <v>23</v>
      </c>
    </row>
    <row r="3" customFormat="false" ht="15" hidden="false" customHeight="false" outlineLevel="0" collapsed="false">
      <c r="B3" s="2" t="s">
        <v>24</v>
      </c>
    </row>
    <row r="5" customFormat="false" ht="15" hidden="false" customHeight="false" outlineLevel="0" collapsed="false">
      <c r="B5" s="10" t="s">
        <v>25</v>
      </c>
      <c r="C5" s="10"/>
      <c r="D5" s="10"/>
    </row>
    <row r="6" customFormat="false" ht="15" hidden="false" customHeight="false" outlineLevel="0" collapsed="false">
      <c r="B6" s="7" t="s">
        <v>26</v>
      </c>
      <c r="C6" s="11" t="n">
        <f aca="false">Model!M15*(1+Assumptions!$C$34)/(Assumptions!$C$31-Assumptions!$C$34)</f>
        <v>46411.3259911818</v>
      </c>
      <c r="D6" s="12" t="s">
        <v>27</v>
      </c>
    </row>
    <row r="7" customFormat="false" ht="15" hidden="false" customHeight="false" outlineLevel="0" collapsed="false">
      <c r="B7" s="7" t="s">
        <v>28</v>
      </c>
      <c r="C7" s="11" t="n">
        <f aca="false">Model!M8*Assumptions!$C$35</f>
        <v>67409.9846354399</v>
      </c>
      <c r="D7" s="12" t="s">
        <v>29</v>
      </c>
    </row>
    <row r="8" customFormat="false" ht="15" hidden="false" customHeight="false" outlineLevel="0" collapsed="false">
      <c r="B8" s="7" t="s">
        <v>30</v>
      </c>
      <c r="C8" s="11" t="n">
        <f aca="false">IF(Assumptions!$C$36="Perpetuity",C6,C7)</f>
        <v>46411.3259911818</v>
      </c>
      <c r="D8" s="12" t="s">
        <v>31</v>
      </c>
    </row>
    <row r="9" customFormat="false" ht="15" hidden="false" customHeight="false" outlineLevel="0" collapsed="false">
      <c r="B9" s="7" t="s">
        <v>32</v>
      </c>
      <c r="C9" s="11" t="n">
        <f aca="false">C8/(1+Assumptions!$C$31)^10</f>
        <v>18388.9825560898</v>
      </c>
      <c r="D9" s="12" t="s">
        <v>33</v>
      </c>
    </row>
    <row r="11" customFormat="false" ht="15" hidden="false" customHeight="false" outlineLevel="0" collapsed="false">
      <c r="B11" s="10" t="s">
        <v>34</v>
      </c>
      <c r="C11" s="10"/>
      <c r="D11" s="10"/>
    </row>
    <row r="12" customFormat="false" ht="15" hidden="false" customHeight="false" outlineLevel="0" collapsed="false">
      <c r="B12" s="7" t="s">
        <v>35</v>
      </c>
      <c r="C12" s="11" t="n">
        <f aca="false">Model!$C$20</f>
        <v>14571.9607933541</v>
      </c>
      <c r="D12" s="12" t="s">
        <v>36</v>
      </c>
    </row>
    <row r="13" customFormat="false" ht="16.15" hidden="false" customHeight="false" outlineLevel="0" collapsed="false">
      <c r="B13" s="3" t="s">
        <v>37</v>
      </c>
      <c r="C13" s="13" t="n">
        <f aca="false">C12+C9</f>
        <v>32960.9433494439</v>
      </c>
    </row>
    <row r="14" customFormat="false" ht="15" hidden="false" customHeight="false" outlineLevel="0" collapsed="false">
      <c r="B14" s="7" t="s">
        <v>38</v>
      </c>
      <c r="C14" s="14" t="n">
        <f aca="false">IFERROR(C9/C13,0)</f>
        <v>0.557902192335162</v>
      </c>
      <c r="D14" s="12" t="s">
        <v>39</v>
      </c>
    </row>
    <row r="15" customFormat="false" ht="15" hidden="false" customHeight="false" outlineLevel="0" collapsed="false">
      <c r="B15" s="7" t="s">
        <v>40</v>
      </c>
      <c r="C15" s="11" t="n">
        <f aca="false">-Assumptions!$C$22</f>
        <v>1000</v>
      </c>
      <c r="D15" s="12" t="s">
        <v>41</v>
      </c>
    </row>
    <row r="16" customFormat="false" ht="16.15" hidden="false" customHeight="false" outlineLevel="0" collapsed="false">
      <c r="B16" s="3" t="s">
        <v>42</v>
      </c>
      <c r="C16" s="13" t="n">
        <f aca="false">C13-Assumptions!$C$22</f>
        <v>33960.9433494439</v>
      </c>
    </row>
    <row r="17" customFormat="false" ht="16.15" hidden="false" customHeight="false" outlineLevel="0" collapsed="false">
      <c r="B17" s="3" t="s">
        <v>43</v>
      </c>
      <c r="C17" s="15" t="n">
        <f aca="false">IFERROR(C16/Assumptions!$C$9,0)</f>
        <v>33.9609433494439</v>
      </c>
      <c r="D17" s="12" t="s">
        <v>44</v>
      </c>
    </row>
    <row r="19" customFormat="false" ht="15" hidden="false" customHeight="false" outlineLevel="0" collapsed="false">
      <c r="B19" s="10" t="s">
        <v>45</v>
      </c>
      <c r="C19" s="10"/>
      <c r="D19" s="10"/>
    </row>
    <row r="20" customFormat="false" ht="15" hidden="false" customHeight="false" outlineLevel="0" collapsed="false">
      <c r="B20" s="7" t="s">
        <v>46</v>
      </c>
      <c r="C20" s="16" t="n">
        <f aca="false">Assumptions!$C$7</f>
        <v>32</v>
      </c>
    </row>
    <row r="21" customFormat="false" ht="16.15" hidden="false" customHeight="false" outlineLevel="0" collapsed="false">
      <c r="B21" s="3" t="s">
        <v>47</v>
      </c>
      <c r="C21" s="17" t="n">
        <f aca="false">IFERROR(C17/Assumptions!$C$7-1,0)</f>
        <v>0.0612794796701226</v>
      </c>
      <c r="D21" s="12" t="s">
        <v>48</v>
      </c>
    </row>
    <row r="23" customFormat="false" ht="15" hidden="false" customHeight="false" outlineLevel="0" collapsed="false">
      <c r="B23" s="18" t="str">
        <f aca="false">IF(C21&gt;0.25,"Model says materially undervalued. Now go and attack your own assumptions.",IF(C21&gt;0,"Model says modestly undervalued, which is within the margin of error of a DCF.",IF(C21&gt;-0.25,"Model says modestly overvalued, which is within the margin of error of a DCF.","Model says materially overvalued. Check the growth and WACC inputs before believing it.")))</f>
        <v>Model says modestly undervalued, which is within the margin of error of a DCF.</v>
      </c>
      <c r="C23" s="18"/>
      <c r="D23" s="18"/>
    </row>
    <row r="25" customFormat="false" ht="73.5" hidden="false" customHeight="true" outlineLevel="0" collapsed="false">
      <c r="B25" s="19" t="s">
        <v>49</v>
      </c>
      <c r="C25" s="19"/>
      <c r="D25" s="19"/>
    </row>
    <row r="27" customFormat="false" ht="15" hidden="false" customHeight="false" outlineLevel="0" collapsed="false">
      <c r="B27" s="10" t="s">
        <v>50</v>
      </c>
      <c r="C27" s="10"/>
      <c r="D27" s="10"/>
    </row>
    <row r="28" customFormat="false" ht="25.5" hidden="false" customHeight="true" outlineLevel="0" collapsed="false">
      <c r="B28" s="8" t="s">
        <v>51</v>
      </c>
      <c r="C28" s="8"/>
      <c r="D28" s="8"/>
    </row>
    <row r="29" customFormat="false" ht="15" hidden="false" customHeight="false" outlineLevel="0" collapsed="false">
      <c r="B29" s="20" t="s">
        <v>52</v>
      </c>
      <c r="C29" s="21" t="n">
        <f aca="false">Assumptions!$C$31+-0.02</f>
        <v>0.077</v>
      </c>
      <c r="D29" s="21" t="n">
        <f aca="false">Assumptions!$C$31+-0.01</f>
        <v>0.087</v>
      </c>
      <c r="E29" s="21" t="n">
        <f aca="false">Assumptions!$C$31+0</f>
        <v>0.097</v>
      </c>
      <c r="F29" s="21" t="n">
        <f aca="false">Assumptions!$C$31+0.01</f>
        <v>0.107</v>
      </c>
      <c r="G29" s="21" t="n">
        <f aca="false">Assumptions!$C$31+0.02</f>
        <v>0.117</v>
      </c>
    </row>
    <row r="30" customFormat="false" ht="15" hidden="false" customHeight="false" outlineLevel="0" collapsed="false">
      <c r="B30" s="22" t="n">
        <f aca="false">Assumptions!$C$34+-0.01</f>
        <v>0.015</v>
      </c>
      <c r="C30" s="23" t="n">
        <f aca="false">IFERROR(IF((Assumptions!$C$31+-0.02)&lt;=(Assumptions!$C$34+-0.01),NA(),((Model!D15/(1+(Assumptions!$C$31+-0.02))^1+Model!E15/(1+(Assumptions!$C$31+-0.02))^2+Model!F15/(1+(Assumptions!$C$31+-0.02))^3+Model!G15/(1+(Assumptions!$C$31+-0.02))^4+Model!H15/(1+(Assumptions!$C$31+-0.02))^5+Model!I15/(1+(Assumptions!$C$31+-0.02))^6+Model!J15/(1+(Assumptions!$C$31+-0.02))^7+Model!K15/(1+(Assumptions!$C$31+-0.02))^8+Model!L15/(1+(Assumptions!$C$31+-0.02))^9+Model!M15/(1+(Assumptions!$C$31+-0.02))^10)+Model!M15*(1+(Assumptions!$C$34+-0.01))/((Assumptions!$C$31+-0.02)-(Assumptions!$C$34+-0.01))/(1+(Assumptions!$C$31+-0.02))^10-Assumptions!$C$22)/Assumptions!$C$9),NA())</f>
        <v>42.5393204672106</v>
      </c>
      <c r="D30" s="23" t="n">
        <f aca="false">IFERROR(IF((Assumptions!$C$31+-0.01)&lt;=(Assumptions!$C$34+-0.01),NA(),((Model!D15/(1+(Assumptions!$C$31+-0.01))^1+Model!E15/(1+(Assumptions!$C$31+-0.01))^2+Model!F15/(1+(Assumptions!$C$31+-0.01))^3+Model!G15/(1+(Assumptions!$C$31+-0.01))^4+Model!H15/(1+(Assumptions!$C$31+-0.01))^5+Model!I15/(1+(Assumptions!$C$31+-0.01))^6+Model!J15/(1+(Assumptions!$C$31+-0.01))^7+Model!K15/(1+(Assumptions!$C$31+-0.01))^8+Model!L15/(1+(Assumptions!$C$31+-0.01))^9+Model!M15/(1+(Assumptions!$C$31+-0.01))^10)+Model!M15*(1+(Assumptions!$C$34+-0.01))/((Assumptions!$C$31+-0.01)-(Assumptions!$C$34+-0.01))/(1+(Assumptions!$C$31+-0.01))^10-Assumptions!$C$22)/Assumptions!$C$9),NA())</f>
        <v>36.2740089627105</v>
      </c>
      <c r="E30" s="23" t="n">
        <f aca="false">IFERROR(IF((Assumptions!$C$31+0)&lt;=(Assumptions!$C$34+-0.01),NA(),((Model!D15/(1+(Assumptions!$C$31+0))^1+Model!E15/(1+(Assumptions!$C$31+0))^2+Model!F15/(1+(Assumptions!$C$31+0))^3+Model!G15/(1+(Assumptions!$C$31+0))^4+Model!H15/(1+(Assumptions!$C$31+0))^5+Model!I15/(1+(Assumptions!$C$31+0))^6+Model!J15/(1+(Assumptions!$C$31+0))^7+Model!K15/(1+(Assumptions!$C$31+0))^8+Model!L15/(1+(Assumptions!$C$31+0))^9+Model!M15/(1+(Assumptions!$C$31+0))^10)+Model!M15*(1+(Assumptions!$C$34+-0.01))/((Assumptions!$C$31+0)-(Assumptions!$C$34+-0.01))/(1+(Assumptions!$C$31+0))^10-Assumptions!$C$22)/Assumptions!$C$9),NA())</f>
        <v>31.5608584161863</v>
      </c>
      <c r="F30" s="23" t="n">
        <f aca="false">IFERROR(IF((Assumptions!$C$31+0.01)&lt;=(Assumptions!$C$34+-0.01),NA(),((Model!D15/(1+(Assumptions!$C$31+0.01))^1+Model!E15/(1+(Assumptions!$C$31+0.01))^2+Model!F15/(1+(Assumptions!$C$31+0.01))^3+Model!G15/(1+(Assumptions!$C$31+0.01))^4+Model!H15/(1+(Assumptions!$C$31+0.01))^5+Model!I15/(1+(Assumptions!$C$31+0.01))^6+Model!J15/(1+(Assumptions!$C$31+0.01))^7+Model!K15/(1+(Assumptions!$C$31+0.01))^8+Model!L15/(1+(Assumptions!$C$31+0.01))^9+Model!M15/(1+(Assumptions!$C$31+0.01))^10)+Model!M15*(1+(Assumptions!$C$34+-0.01))/((Assumptions!$C$31+0.01)-(Assumptions!$C$34+-0.01))/(1+(Assumptions!$C$31+0.01))^10-Assumptions!$C$22)/Assumptions!$C$9),NA())</f>
        <v>27.8922237506559</v>
      </c>
      <c r="G30" s="23" t="n">
        <f aca="false">IFERROR(IF((Assumptions!$C$31+0.02)&lt;=(Assumptions!$C$34+-0.01),NA(),((Model!D15/(1+(Assumptions!$C$31+0.02))^1+Model!E15/(1+(Assumptions!$C$31+0.02))^2+Model!F15/(1+(Assumptions!$C$31+0.02))^3+Model!G15/(1+(Assumptions!$C$31+0.02))^4+Model!H15/(1+(Assumptions!$C$31+0.02))^5+Model!I15/(1+(Assumptions!$C$31+0.02))^6+Model!J15/(1+(Assumptions!$C$31+0.02))^7+Model!K15/(1+(Assumptions!$C$31+0.02))^8+Model!L15/(1+(Assumptions!$C$31+0.02))^9+Model!M15/(1+(Assumptions!$C$31+0.02))^10)+Model!M15*(1+(Assumptions!$C$34+-0.01))/((Assumptions!$C$31+0.02)-(Assumptions!$C$34+-0.01))/(1+(Assumptions!$C$31+0.02))^10-Assumptions!$C$22)/Assumptions!$C$9),NA())</f>
        <v>24.9596488189702</v>
      </c>
    </row>
    <row r="31" customFormat="false" ht="15" hidden="false" customHeight="false" outlineLevel="0" collapsed="false">
      <c r="B31" s="22" t="n">
        <f aca="false">Assumptions!$C$34+-0.005</f>
        <v>0.02</v>
      </c>
      <c r="C31" s="23" t="n">
        <f aca="false">IFERROR(IF((Assumptions!$C$31+-0.02)&lt;=(Assumptions!$C$34+-0.005),NA(),((Model!D15/(1+(Assumptions!$C$31+-0.02))^1+Model!E15/(1+(Assumptions!$C$31+-0.02))^2+Model!F15/(1+(Assumptions!$C$31+-0.02))^3+Model!G15/(1+(Assumptions!$C$31+-0.02))^4+Model!H15/(1+(Assumptions!$C$31+-0.02))^5+Model!I15/(1+(Assumptions!$C$31+-0.02))^6+Model!J15/(1+(Assumptions!$C$31+-0.02))^7+Model!K15/(1+(Assumptions!$C$31+-0.02))^8+Model!L15/(1+(Assumptions!$C$31+-0.02))^9+Model!M15/(1+(Assumptions!$C$31+-0.02))^10)+Model!M15*(1+(Assumptions!$C$34+-0.005))/((Assumptions!$C$31+-0.02)-(Assumptions!$C$34+-0.005))/(1+(Assumptions!$C$31+-0.02))^10-Assumptions!$C$22)/Assumptions!$C$9),NA())</f>
        <v>44.9052114939823</v>
      </c>
      <c r="D31" s="23" t="n">
        <f aca="false">IFERROR(IF((Assumptions!$C$31+-0.01)&lt;=(Assumptions!$C$34+-0.005),NA(),((Model!D15/(1+(Assumptions!$C$31+-0.01))^1+Model!E15/(1+(Assumptions!$C$31+-0.01))^2+Model!F15/(1+(Assumptions!$C$31+-0.01))^3+Model!G15/(1+(Assumptions!$C$31+-0.01))^4+Model!H15/(1+(Assumptions!$C$31+-0.01))^5+Model!I15/(1+(Assumptions!$C$31+-0.01))^6+Model!J15/(1+(Assumptions!$C$31+-0.01))^7+Model!K15/(1+(Assumptions!$C$31+-0.01))^8+Model!L15/(1+(Assumptions!$C$31+-0.01))^9+Model!M15/(1+(Assumptions!$C$31+-0.01))^10)+Model!M15*(1+(Assumptions!$C$34+-0.005))/((Assumptions!$C$31+-0.01)-(Assumptions!$C$34+-0.005))/(1+(Assumptions!$C$31+-0.01))^10-Assumptions!$C$22)/Assumptions!$C$9),NA())</f>
        <v>37.8688941189465</v>
      </c>
      <c r="E31" s="23" t="n">
        <f aca="false">IFERROR(IF((Assumptions!$C$31+0)&lt;=(Assumptions!$C$34+-0.005),NA(),((Model!D15/(1+(Assumptions!$C$31+0))^1+Model!E15/(1+(Assumptions!$C$31+0))^2+Model!F15/(1+(Assumptions!$C$31+0))^3+Model!G15/(1+(Assumptions!$C$31+0))^4+Model!H15/(1+(Assumptions!$C$31+0))^5+Model!I15/(1+(Assumptions!$C$31+0))^6+Model!J15/(1+(Assumptions!$C$31+0))^7+Model!K15/(1+(Assumptions!$C$31+0))^8+Model!L15/(1+(Assumptions!$C$31+0))^9+Model!M15/(1+(Assumptions!$C$31+0))^10)+Model!M15*(1+(Assumptions!$C$34+-0.005))/((Assumptions!$C$31+0)-(Assumptions!$C$34+-0.005))/(1+(Assumptions!$C$31+0))^10-Assumptions!$C$22)/Assumptions!$C$9),NA())</f>
        <v>32.6829760473197</v>
      </c>
      <c r="F31" s="23" t="n">
        <f aca="false">IFERROR(IF((Assumptions!$C$31+0.01)&lt;=(Assumptions!$C$34+-0.005),NA(),((Model!D15/(1+(Assumptions!$C$31+0.01))^1+Model!E15/(1+(Assumptions!$C$31+0.01))^2+Model!F15/(1+(Assumptions!$C$31+0.01))^3+Model!G15/(1+(Assumptions!$C$31+0.01))^4+Model!H15/(1+(Assumptions!$C$31+0.01))^5+Model!I15/(1+(Assumptions!$C$31+0.01))^6+Model!J15/(1+(Assumptions!$C$31+0.01))^7+Model!K15/(1+(Assumptions!$C$31+0.01))^8+Model!L15/(1+(Assumptions!$C$31+0.01))^9+Model!M15/(1+(Assumptions!$C$31+0.01))^10)+Model!M15*(1+(Assumptions!$C$34+-0.005))/((Assumptions!$C$31+0.01)-(Assumptions!$C$34+-0.005))/(1+(Assumptions!$C$31+0.01))^10-Assumptions!$C$22)/Assumptions!$C$9),NA())</f>
        <v>28.7079922742727</v>
      </c>
      <c r="G31" s="23" t="n">
        <f aca="false">IFERROR(IF((Assumptions!$C$31+0.02)&lt;=(Assumptions!$C$34+-0.005),NA(),((Model!D15/(1+(Assumptions!$C$31+0.02))^1+Model!E15/(1+(Assumptions!$C$31+0.02))^2+Model!F15/(1+(Assumptions!$C$31+0.02))^3+Model!G15/(1+(Assumptions!$C$31+0.02))^4+Model!H15/(1+(Assumptions!$C$31+0.02))^5+Model!I15/(1+(Assumptions!$C$31+0.02))^6+Model!J15/(1+(Assumptions!$C$31+0.02))^7+Model!K15/(1+(Assumptions!$C$31+0.02))^8+Model!L15/(1+(Assumptions!$C$31+0.02))^9+Model!M15/(1+(Assumptions!$C$31+0.02))^10)+Model!M15*(1+(Assumptions!$C$34+-0.005))/((Assumptions!$C$31+0.02)-(Assumptions!$C$34+-0.005))/(1+(Assumptions!$C$31+0.02))^10-Assumptions!$C$22)/Assumptions!$C$9),NA())</f>
        <v>25.5682771267656</v>
      </c>
    </row>
    <row r="32" customFormat="false" ht="15" hidden="false" customHeight="false" outlineLevel="0" collapsed="false">
      <c r="B32" s="22" t="n">
        <f aca="false">Assumptions!$C$34+0</f>
        <v>0.025</v>
      </c>
      <c r="C32" s="23" t="n">
        <f aca="false">IFERROR(IF((Assumptions!$C$31+-0.02)&lt;=(Assumptions!$C$34+0),NA(),((Model!D15/(1+(Assumptions!$C$31+-0.02))^1+Model!E15/(1+(Assumptions!$C$31+-0.02))^2+Model!F15/(1+(Assumptions!$C$31+-0.02))^3+Model!G15/(1+(Assumptions!$C$31+-0.02))^4+Model!H15/(1+(Assumptions!$C$31+-0.02))^5+Model!I15/(1+(Assumptions!$C$31+-0.02))^6+Model!J15/(1+(Assumptions!$C$31+-0.02))^7+Model!K15/(1+(Assumptions!$C$31+-0.02))^8+Model!L15/(1+(Assumptions!$C$31+-0.02))^9+Model!M15/(1+(Assumptions!$C$31+-0.02))^10)+Model!M15*(1+(Assumptions!$C$34+0))/((Assumptions!$C$31+-0.02)-(Assumptions!$C$34+0))/(1+(Assumptions!$C$31+-0.02))^10-Assumptions!$C$22)/Assumptions!$C$9),NA())</f>
        <v>47.726081564364</v>
      </c>
      <c r="D32" s="23" t="n">
        <f aca="false">IFERROR(IF((Assumptions!$C$31+-0.01)&lt;=(Assumptions!$C$34+0),NA(),((Model!D15/(1+(Assumptions!$C$31+-0.01))^1+Model!E15/(1+(Assumptions!$C$31+-0.01))^2+Model!F15/(1+(Assumptions!$C$31+-0.01))^3+Model!G15/(1+(Assumptions!$C$31+-0.01))^4+Model!H15/(1+(Assumptions!$C$31+-0.01))^5+Model!I15/(1+(Assumptions!$C$31+-0.01))^6+Model!J15/(1+(Assumptions!$C$31+-0.01))^7+Model!K15/(1+(Assumptions!$C$31+-0.01))^8+Model!L15/(1+(Assumptions!$C$31+-0.01))^9+Model!M15/(1+(Assumptions!$C$31+-0.01))^10)+Model!M15*(1+(Assumptions!$C$34+0))/((Assumptions!$C$31+-0.01)-(Assumptions!$C$34+0))/(1+(Assumptions!$C$31+-0.01))^10-Assumptions!$C$22)/Assumptions!$C$9),NA())</f>
        <v>39.7210188165108</v>
      </c>
      <c r="E32" s="24" t="n">
        <f aca="false">IFERROR(IF((Assumptions!$C$31+0)&lt;=(Assumptions!$C$34+0),NA(),((Model!D15/(1+(Assumptions!$C$31+0))^1+Model!E15/(1+(Assumptions!$C$31+0))^2+Model!F15/(1+(Assumptions!$C$31+0))^3+Model!G15/(1+(Assumptions!$C$31+0))^4+Model!H15/(1+(Assumptions!$C$31+0))^5+Model!I15/(1+(Assumptions!$C$31+0))^6+Model!J15/(1+(Assumptions!$C$31+0))^7+Model!K15/(1+(Assumptions!$C$31+0))^8+Model!L15/(1+(Assumptions!$C$31+0))^9+Model!M15/(1+(Assumptions!$C$31+0))^10)+Model!M15*(1+(Assumptions!$C$34+0))/((Assumptions!$C$31+0)-(Assumptions!$C$34+0))/(1+(Assumptions!$C$31+0))^10-Assumptions!$C$22)/Assumptions!$C$9),NA())</f>
        <v>33.9609433494439</v>
      </c>
      <c r="F32" s="23" t="n">
        <f aca="false">IFERROR(IF((Assumptions!$C$31+0.01)&lt;=(Assumptions!$C$34+0),NA(),((Model!D15/(1+(Assumptions!$C$31+0.01))^1+Model!E15/(1+(Assumptions!$C$31+0.01))^2+Model!F15/(1+(Assumptions!$C$31+0.01))^3+Model!G15/(1+(Assumptions!$C$31+0.01))^4+Model!H15/(1+(Assumptions!$C$31+0.01))^5+Model!I15/(1+(Assumptions!$C$31+0.01))^6+Model!J15/(1+(Assumptions!$C$31+0.01))^7+Model!K15/(1+(Assumptions!$C$31+0.01))^8+Model!L15/(1+(Assumptions!$C$31+0.01))^9+Model!M15/(1+(Assumptions!$C$31+0.01))^10)+Model!M15*(1+(Assumptions!$C$34+0))/((Assumptions!$C$31+0.01)-(Assumptions!$C$34+0))/(1+(Assumptions!$C$31+0.01))^10-Assumptions!$C$22)/Assumptions!$C$9),NA())</f>
        <v>29.6232447641842</v>
      </c>
      <c r="G32" s="23" t="n">
        <f aca="false">IFERROR(IF((Assumptions!$C$31+0.02)&lt;=(Assumptions!$C$34+0),NA(),((Model!D15/(1+(Assumptions!$C$31+0.02))^1+Model!E15/(1+(Assumptions!$C$31+0.02))^2+Model!F15/(1+(Assumptions!$C$31+0.02))^3+Model!G15/(1+(Assumptions!$C$31+0.02))^4+Model!H15/(1+(Assumptions!$C$31+0.02))^5+Model!I15/(1+(Assumptions!$C$31+0.02))^6+Model!J15/(1+(Assumptions!$C$31+0.02))^7+Model!K15/(1+(Assumptions!$C$31+0.02))^8+Model!L15/(1+(Assumptions!$C$31+0.02))^9+Model!M15/(1+(Assumptions!$C$31+0.02))^10)+Model!M15*(1+(Assumptions!$C$34+0))/((Assumptions!$C$31+0.02)-(Assumptions!$C$34+0))/(1+(Assumptions!$C$31+0.02))^10-Assumptions!$C$22)/Assumptions!$C$9),NA())</f>
        <v>26.2430606854083</v>
      </c>
    </row>
    <row r="33" customFormat="false" ht="15" hidden="false" customHeight="false" outlineLevel="0" collapsed="false">
      <c r="B33" s="22" t="n">
        <f aca="false">Assumptions!$C$34+0.005</f>
        <v>0.03</v>
      </c>
      <c r="C33" s="23" t="n">
        <f aca="false">IFERROR(IF((Assumptions!$C$31+-0.02)&lt;=(Assumptions!$C$34+0.005),NA(),((Model!D15/(1+(Assumptions!$C$31+-0.02))^1+Model!E15/(1+(Assumptions!$C$31+-0.02))^2+Model!F15/(1+(Assumptions!$C$31+-0.02))^3+Model!G15/(1+(Assumptions!$C$31+-0.02))^4+Model!H15/(1+(Assumptions!$C$31+-0.02))^5+Model!I15/(1+(Assumptions!$C$31+-0.02))^6+Model!J15/(1+(Assumptions!$C$31+-0.02))^7+Model!K15/(1+(Assumptions!$C$31+-0.02))^8+Model!L15/(1+(Assumptions!$C$31+-0.02))^9+Model!M15/(1+(Assumptions!$C$31+-0.02))^10)+Model!M15*(1+(Assumptions!$C$34+0.005))/((Assumptions!$C$31+-0.02)-(Assumptions!$C$34+0.005))/(1+(Assumptions!$C$31+-0.02))^10-Assumptions!$C$22)/Assumptions!$C$9),NA())</f>
        <v>51.1471367561035</v>
      </c>
      <c r="D33" s="23" t="n">
        <f aca="false">IFERROR(IF((Assumptions!$C$31+-0.01)&lt;=(Assumptions!$C$34+0.005),NA(),((Model!D15/(1+(Assumptions!$C$31+-0.01))^1+Model!E15/(1+(Assumptions!$C$31+-0.01))^2+Model!F15/(1+(Assumptions!$C$31+-0.01))^3+Model!G15/(1+(Assumptions!$C$31+-0.01))^4+Model!H15/(1+(Assumptions!$C$31+-0.01))^5+Model!I15/(1+(Assumptions!$C$31+-0.01))^6+Model!J15/(1+(Assumptions!$C$31+-0.01))^7+Model!K15/(1+(Assumptions!$C$31+-0.01))^8+Model!L15/(1+(Assumptions!$C$31+-0.01))^9+Model!M15/(1+(Assumptions!$C$31+-0.01))^10)+Model!M15*(1+(Assumptions!$C$34+0.005))/((Assumptions!$C$31+-0.01)-(Assumptions!$C$34+0.005))/(1+(Assumptions!$C$31+-0.01))^10-Assumptions!$C$22)/Assumptions!$C$9),NA())</f>
        <v>41.8980776715426</v>
      </c>
      <c r="E33" s="23" t="n">
        <f aca="false">IFERROR(IF((Assumptions!$C$31+0)&lt;=(Assumptions!$C$34+0.005),NA(),((Model!D15/(1+(Assumptions!$C$31+0))^1+Model!E15/(1+(Assumptions!$C$31+0))^2+Model!F15/(1+(Assumptions!$C$31+0))^3+Model!G15/(1+(Assumptions!$C$31+0))^4+Model!H15/(1+(Assumptions!$C$31+0))^5+Model!I15/(1+(Assumptions!$C$31+0))^6+Model!J15/(1+(Assumptions!$C$31+0))^7+Model!K15/(1+(Assumptions!$C$31+0))^8+Model!L15/(1+(Assumptions!$C$31+0))^9+Model!M15/(1+(Assumptions!$C$31+0))^10)+Model!M15*(1+(Assumptions!$C$34+0.005))/((Assumptions!$C$31+0)-(Assumptions!$C$34+0.005))/(1+(Assumptions!$C$31+0))^10-Assumptions!$C$22)/Assumptions!$C$9),NA())</f>
        <v>35.4296520399449</v>
      </c>
      <c r="F33" s="23" t="n">
        <f aca="false">IFERROR(IF((Assumptions!$C$31+0.01)&lt;=(Assumptions!$C$34+0.005),NA(),((Model!D15/(1+(Assumptions!$C$31+0.01))^1+Model!E15/(1+(Assumptions!$C$31+0.01))^2+Model!F15/(1+(Assumptions!$C$31+0.01))^3+Model!G15/(1+(Assumptions!$C$31+0.01))^4+Model!H15/(1+(Assumptions!$C$31+0.01))^5+Model!I15/(1+(Assumptions!$C$31+0.01))^6+Model!J15/(1+(Assumptions!$C$31+0.01))^7+Model!K15/(1+(Assumptions!$C$31+0.01))^8+Model!L15/(1+(Assumptions!$C$31+0.01))^9+Model!M15/(1+(Assumptions!$C$31+0.01))^10)+Model!M15*(1+(Assumptions!$C$34+0.005))/((Assumptions!$C$31+0.01)-(Assumptions!$C$34+0.005))/(1+(Assumptions!$C$31+0.01))^10-Assumptions!$C$22)/Assumptions!$C$9),NA())</f>
        <v>30.6573612138244</v>
      </c>
      <c r="G33" s="23" t="n">
        <f aca="false">IFERROR(IF((Assumptions!$C$31+0.02)&lt;=(Assumptions!$C$34+0.005),NA(),((Model!D15/(1+(Assumptions!$C$31+0.02))^1+Model!E15/(1+(Assumptions!$C$31+0.02))^2+Model!F15/(1+(Assumptions!$C$31+0.02))^3+Model!G15/(1+(Assumptions!$C$31+0.02))^4+Model!H15/(1+(Assumptions!$C$31+0.02))^5+Model!I15/(1+(Assumptions!$C$31+0.02))^6+Model!J15/(1+(Assumptions!$C$31+0.02))^7+Model!K15/(1+(Assumptions!$C$31+0.02))^8+Model!L15/(1+(Assumptions!$C$31+0.02))^9+Model!M15/(1+(Assumptions!$C$31+0.02))^10)+Model!M15*(1+(Assumptions!$C$34+0.005))/((Assumptions!$C$31+0.02)-(Assumptions!$C$34+0.005))/(1+(Assumptions!$C$31+0.02))^10-Assumptions!$C$22)/Assumptions!$C$9),NA())</f>
        <v>26.9954055726306</v>
      </c>
    </row>
    <row r="34" customFormat="false" ht="15" hidden="false" customHeight="false" outlineLevel="0" collapsed="false">
      <c r="B34" s="22" t="n">
        <f aca="false">Assumptions!$C$34+0.01</f>
        <v>0.035</v>
      </c>
      <c r="C34" s="23" t="n">
        <f aca="false">IFERROR(IF((Assumptions!$C$31+-0.02)&lt;=(Assumptions!$C$34+0.01),NA(),((Model!D15/(1+(Assumptions!$C$31+-0.02))^1+Model!E15/(1+(Assumptions!$C$31+-0.02))^2+Model!F15/(1+(Assumptions!$C$31+-0.02))^3+Model!G15/(1+(Assumptions!$C$31+-0.02))^4+Model!H15/(1+(Assumptions!$C$31+-0.02))^5+Model!I15/(1+(Assumptions!$C$31+-0.02))^6+Model!J15/(1+(Assumptions!$C$31+-0.02))^7+Model!K15/(1+(Assumptions!$C$31+-0.02))^8+Model!L15/(1+(Assumptions!$C$31+-0.02))^9+Model!M15/(1+(Assumptions!$C$31+-0.02))^10)+Model!M15*(1+(Assumptions!$C$34+0.01))/((Assumptions!$C$31+-0.02)-(Assumptions!$C$34+0.01))/(1+(Assumptions!$C$31+-0.02))^10-Assumptions!$C$22)/Assumptions!$C$9),NA())</f>
        <v>55.3827288982571</v>
      </c>
      <c r="D34" s="23" t="n">
        <f aca="false">IFERROR(IF((Assumptions!$C$31+-0.01)&lt;=(Assumptions!$C$34+0.01),NA(),((Model!D15/(1+(Assumptions!$C$31+-0.01))^1+Model!E15/(1+(Assumptions!$C$31+-0.01))^2+Model!F15/(1+(Assumptions!$C$31+-0.01))^3+Model!G15/(1+(Assumptions!$C$31+-0.01))^4+Model!H15/(1+(Assumptions!$C$31+-0.01))^5+Model!I15/(1+(Assumptions!$C$31+-0.01))^6+Model!J15/(1+(Assumptions!$C$31+-0.01))^7+Model!K15/(1+(Assumptions!$C$31+-0.01))^8+Model!L15/(1+(Assumptions!$C$31+-0.01))^9+Model!M15/(1+(Assumptions!$C$31+-0.01))^10)+Model!M15*(1+(Assumptions!$C$34+0.01))/((Assumptions!$C$31+-0.01)-(Assumptions!$C$34+0.01))/(1+(Assumptions!$C$31+-0.01))^10-Assumptions!$C$22)/Assumptions!$C$9),NA())</f>
        <v>44.4938016910035</v>
      </c>
      <c r="E34" s="23" t="n">
        <f aca="false">IFERROR(IF((Assumptions!$C$31+0)&lt;=(Assumptions!$C$34+0.01),NA(),((Model!D15/(1+(Assumptions!$C$31+0))^1+Model!E15/(1+(Assumptions!$C$31+0))^2+Model!F15/(1+(Assumptions!$C$31+0))^3+Model!G15/(1+(Assumptions!$C$31+0))^4+Model!H15/(1+(Assumptions!$C$31+0))^5+Model!I15/(1+(Assumptions!$C$31+0))^6+Model!J15/(1+(Assumptions!$C$31+0))^7+Model!K15/(1+(Assumptions!$C$31+0))^8+Model!L15/(1+(Assumptions!$C$31+0))^9+Model!M15/(1+(Assumptions!$C$31+0))^10)+Model!M15*(1+(Assumptions!$C$34+0.01))/((Assumptions!$C$31+0)-(Assumptions!$C$34+0.01))/(1+(Assumptions!$C$31+0))^10-Assumptions!$C$22)/Assumptions!$C$9),NA())</f>
        <v>37.1352492289137</v>
      </c>
      <c r="F34" s="23" t="n">
        <f aca="false">IFERROR(IF((Assumptions!$C$31+0.01)&lt;=(Assumptions!$C$34+0.01),NA(),((Model!D15/(1+(Assumptions!$C$31+0.01))^1+Model!E15/(1+(Assumptions!$C$31+0.01))^2+Model!F15/(1+(Assumptions!$C$31+0.01))^3+Model!G15/(1+(Assumptions!$C$31+0.01))^4+Model!H15/(1+(Assumptions!$C$31+0.01))^5+Model!I15/(1+(Assumptions!$C$31+0.01))^6+Model!J15/(1+(Assumptions!$C$31+0.01))^7+Model!K15/(1+(Assumptions!$C$31+0.01))^8+Model!L15/(1+(Assumptions!$C$31+0.01))^9+Model!M15/(1+(Assumptions!$C$31+0.01))^10)+Model!M15*(1+(Assumptions!$C$34+0.01))/((Assumptions!$C$31+0.01)-(Assumptions!$C$34+0.01))/(1+(Assumptions!$C$31+0.01))^10-Assumptions!$C$22)/Assumptions!$C$9),NA())</f>
        <v>31.8351049481369</v>
      </c>
      <c r="G34" s="23" t="n">
        <f aca="false">IFERROR(IF((Assumptions!$C$31+0.02)&lt;=(Assumptions!$C$34+0.01),NA(),((Model!D15/(1+(Assumptions!$C$31+0.02))^1+Model!E15/(1+(Assumptions!$C$31+0.02))^2+Model!F15/(1+(Assumptions!$C$31+0.02))^3+Model!G15/(1+(Assumptions!$C$31+0.02))^4+Model!H15/(1+(Assumptions!$C$31+0.02))^5+Model!I15/(1+(Assumptions!$C$31+0.02))^6+Model!J15/(1+(Assumptions!$C$31+0.02))^7+Model!K15/(1+(Assumptions!$C$31+0.02))^8+Model!L15/(1+(Assumptions!$C$31+0.02))^9+Model!M15/(1+(Assumptions!$C$31+0.02))^10)+Model!M15*(1+(Assumptions!$C$34+0.01))/((Assumptions!$C$31+0.02)-(Assumptions!$C$34+0.01))/(1+(Assumptions!$C$31+0.02))^10-Assumptions!$C$22)/Assumptions!$C$9),NA())</f>
        <v>27.8394998363434</v>
      </c>
    </row>
    <row r="36" customFormat="false" ht="15" hidden="false" customHeight="false" outlineLevel="0" collapsed="false">
      <c r="B36" s="2" t="s">
        <v>53</v>
      </c>
    </row>
  </sheetData>
  <mergeCells count="3">
    <mergeCell ref="B23:D23"/>
    <mergeCell ref="B25:D25"/>
    <mergeCell ref="B28:D28"/>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B2:D51"/>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3"/>
    <col collapsed="false" customWidth="true" hidden="false" outlineLevel="0" max="2" min="2" style="0" width="44"/>
    <col collapsed="false" customWidth="true" hidden="false" outlineLevel="0" max="3" min="3" style="0" width="16"/>
    <col collapsed="false" customWidth="true" hidden="false" outlineLevel="0" max="4" min="4" style="0" width="62"/>
  </cols>
  <sheetData>
    <row r="2" customFormat="false" ht="19.7" hidden="false" customHeight="false" outlineLevel="0" collapsed="false">
      <c r="B2" s="9" t="s">
        <v>54</v>
      </c>
    </row>
    <row r="3" customFormat="false" ht="15" hidden="false" customHeight="false" outlineLevel="0" collapsed="false">
      <c r="B3" s="2" t="s">
        <v>55</v>
      </c>
    </row>
    <row r="5" customFormat="false" ht="15" hidden="false" customHeight="false" outlineLevel="0" collapsed="false">
      <c r="B5" s="10" t="s">
        <v>56</v>
      </c>
      <c r="C5" s="10"/>
      <c r="D5" s="10"/>
    </row>
    <row r="6" customFormat="false" ht="15" hidden="false" customHeight="false" outlineLevel="0" collapsed="false">
      <c r="B6" s="7" t="s">
        <v>57</v>
      </c>
      <c r="C6" s="25" t="s">
        <v>58</v>
      </c>
      <c r="D6" s="26" t="s">
        <v>59</v>
      </c>
    </row>
    <row r="7" customFormat="false" ht="15" hidden="false" customHeight="false" outlineLevel="0" collapsed="false">
      <c r="B7" s="7" t="s">
        <v>46</v>
      </c>
      <c r="C7" s="27" t="n">
        <v>32</v>
      </c>
      <c r="D7" s="12" t="s">
        <v>60</v>
      </c>
    </row>
    <row r="8" customFormat="false" ht="15" hidden="false" customHeight="false" outlineLevel="0" collapsed="false">
      <c r="B8" s="7" t="s">
        <v>61</v>
      </c>
      <c r="C8" s="25" t="s">
        <v>62</v>
      </c>
      <c r="D8" s="26" t="s">
        <v>63</v>
      </c>
    </row>
    <row r="9" customFormat="false" ht="15" hidden="false" customHeight="false" outlineLevel="0" collapsed="false">
      <c r="B9" s="7" t="s">
        <v>64</v>
      </c>
      <c r="C9" s="28" t="n">
        <v>1000</v>
      </c>
      <c r="D9" s="12" t="s">
        <v>65</v>
      </c>
    </row>
    <row r="11" customFormat="false" ht="15" hidden="false" customHeight="false" outlineLevel="0" collapsed="false">
      <c r="B11" s="10" t="s">
        <v>66</v>
      </c>
      <c r="C11" s="10"/>
      <c r="D11" s="10"/>
    </row>
    <row r="12" customFormat="false" ht="15" hidden="false" customHeight="false" outlineLevel="0" collapsed="false">
      <c r="B12" s="7" t="s">
        <v>67</v>
      </c>
      <c r="C12" s="28" t="n">
        <v>10000</v>
      </c>
      <c r="D12" s="12" t="s">
        <v>68</v>
      </c>
    </row>
    <row r="13" customFormat="false" ht="15" hidden="false" customHeight="false" outlineLevel="0" collapsed="false">
      <c r="B13" s="7" t="s">
        <v>69</v>
      </c>
      <c r="C13" s="29" t="n">
        <v>0.2</v>
      </c>
      <c r="D13" s="12" t="s">
        <v>70</v>
      </c>
    </row>
    <row r="14" customFormat="false" ht="22.35" hidden="false" customHeight="false" outlineLevel="0" collapsed="false">
      <c r="B14" s="7" t="s">
        <v>71</v>
      </c>
      <c r="C14" s="30" t="n">
        <v>0.21</v>
      </c>
      <c r="D14" s="12" t="s">
        <v>72</v>
      </c>
    </row>
    <row r="15" customFormat="false" ht="15" hidden="false" customHeight="false" outlineLevel="0" collapsed="false">
      <c r="B15" s="7" t="s">
        <v>73</v>
      </c>
      <c r="C15" s="29" t="n">
        <v>0.04</v>
      </c>
      <c r="D15" s="12" t="s">
        <v>74</v>
      </c>
    </row>
    <row r="16" customFormat="false" ht="15" hidden="false" customHeight="false" outlineLevel="0" collapsed="false">
      <c r="B16" s="7" t="s">
        <v>75</v>
      </c>
      <c r="C16" s="29" t="n">
        <v>0.05</v>
      </c>
      <c r="D16" s="12" t="s">
        <v>76</v>
      </c>
    </row>
    <row r="17" customFormat="false" ht="22.35" hidden="false" customHeight="false" outlineLevel="0" collapsed="false">
      <c r="B17" s="7" t="s">
        <v>77</v>
      </c>
      <c r="C17" s="29" t="n">
        <v>0.1</v>
      </c>
      <c r="D17" s="12" t="s">
        <v>78</v>
      </c>
    </row>
    <row r="19" customFormat="false" ht="15" hidden="false" customHeight="false" outlineLevel="0" collapsed="false">
      <c r="B19" s="10" t="s">
        <v>79</v>
      </c>
      <c r="C19" s="10"/>
      <c r="D19" s="10"/>
    </row>
    <row r="20" customFormat="false" ht="15" hidden="false" customHeight="false" outlineLevel="0" collapsed="false">
      <c r="B20" s="7" t="s">
        <v>80</v>
      </c>
      <c r="C20" s="28" t="n">
        <v>0</v>
      </c>
      <c r="D20" s="12" t="s">
        <v>81</v>
      </c>
    </row>
    <row r="21" customFormat="false" ht="15" hidden="false" customHeight="false" outlineLevel="0" collapsed="false">
      <c r="B21" s="7" t="s">
        <v>82</v>
      </c>
      <c r="C21" s="28" t="n">
        <v>1000</v>
      </c>
      <c r="D21" s="12" t="s">
        <v>83</v>
      </c>
    </row>
    <row r="22" customFormat="false" ht="15" hidden="false" customHeight="false" outlineLevel="0" collapsed="false">
      <c r="B22" s="3" t="s">
        <v>84</v>
      </c>
      <c r="C22" s="11" t="n">
        <f aca="false">C20-C21</f>
        <v>-1000</v>
      </c>
      <c r="D22" s="26" t="s">
        <v>85</v>
      </c>
    </row>
    <row r="24" customFormat="false" ht="15" hidden="false" customHeight="false" outlineLevel="0" collapsed="false">
      <c r="B24" s="10" t="s">
        <v>86</v>
      </c>
      <c r="C24" s="10"/>
      <c r="D24" s="10"/>
    </row>
    <row r="25" customFormat="false" ht="15" hidden="false" customHeight="false" outlineLevel="0" collapsed="false">
      <c r="B25" s="7" t="s">
        <v>87</v>
      </c>
      <c r="C25" s="29" t="n">
        <v>0.042</v>
      </c>
      <c r="D25" s="12" t="s">
        <v>88</v>
      </c>
    </row>
    <row r="26" customFormat="false" ht="15" hidden="false" customHeight="false" outlineLevel="0" collapsed="false">
      <c r="B26" s="7" t="s">
        <v>89</v>
      </c>
      <c r="C26" s="29" t="n">
        <v>0.05</v>
      </c>
      <c r="D26" s="12" t="s">
        <v>90</v>
      </c>
    </row>
    <row r="27" customFormat="false" ht="15" hidden="false" customHeight="false" outlineLevel="0" collapsed="false">
      <c r="B27" s="7" t="s">
        <v>91</v>
      </c>
      <c r="C27" s="31" t="n">
        <v>1.1</v>
      </c>
      <c r="D27" s="12" t="s">
        <v>92</v>
      </c>
    </row>
    <row r="28" customFormat="false" ht="15" hidden="false" customHeight="false" outlineLevel="0" collapsed="false">
      <c r="B28" s="3" t="s">
        <v>93</v>
      </c>
      <c r="C28" s="32" t="n">
        <f aca="false">C25+C27*C26</f>
        <v>0.097</v>
      </c>
      <c r="D28" s="26" t="s">
        <v>94</v>
      </c>
    </row>
    <row r="29" customFormat="false" ht="15" hidden="false" customHeight="false" outlineLevel="0" collapsed="false">
      <c r="B29" s="7" t="s">
        <v>95</v>
      </c>
      <c r="C29" s="29" t="n">
        <v>0.055</v>
      </c>
      <c r="D29" s="12" t="s">
        <v>96</v>
      </c>
    </row>
    <row r="30" customFormat="false" ht="15" hidden="false" customHeight="false" outlineLevel="0" collapsed="false">
      <c r="B30" s="7" t="s">
        <v>97</v>
      </c>
      <c r="C30" s="29" t="n">
        <v>0</v>
      </c>
      <c r="D30" s="12" t="s">
        <v>98</v>
      </c>
    </row>
    <row r="31" customFormat="false" ht="15" hidden="false" customHeight="false" outlineLevel="0" collapsed="false">
      <c r="B31" s="5" t="s">
        <v>99</v>
      </c>
      <c r="C31" s="33" t="n">
        <f aca="false">C28*(1-C30)+C29*(1-C14)*C30</f>
        <v>0.097</v>
      </c>
      <c r="D31" s="26" t="s">
        <v>100</v>
      </c>
    </row>
    <row r="33" customFormat="false" ht="15" hidden="false" customHeight="false" outlineLevel="0" collapsed="false">
      <c r="B33" s="10" t="s">
        <v>101</v>
      </c>
      <c r="C33" s="10"/>
      <c r="D33" s="10"/>
    </row>
    <row r="34" customFormat="false" ht="22.35" hidden="false" customHeight="false" outlineLevel="0" collapsed="false">
      <c r="B34" s="7" t="s">
        <v>102</v>
      </c>
      <c r="C34" s="30" t="n">
        <v>0.025</v>
      </c>
      <c r="D34" s="12" t="s">
        <v>103</v>
      </c>
    </row>
    <row r="35" customFormat="false" ht="22.35" hidden="false" customHeight="false" outlineLevel="0" collapsed="false">
      <c r="B35" s="7" t="s">
        <v>104</v>
      </c>
      <c r="C35" s="34" t="n">
        <v>15</v>
      </c>
      <c r="D35" s="12" t="s">
        <v>105</v>
      </c>
    </row>
    <row r="36" customFormat="false" ht="15" hidden="false" customHeight="false" outlineLevel="0" collapsed="false">
      <c r="B36" s="3" t="s">
        <v>106</v>
      </c>
      <c r="C36" s="25" t="s">
        <v>107</v>
      </c>
      <c r="D36" s="26" t="s">
        <v>108</v>
      </c>
    </row>
    <row r="38" customFormat="false" ht="15" hidden="false" customHeight="false" outlineLevel="0" collapsed="false">
      <c r="B38" s="10" t="s">
        <v>109</v>
      </c>
      <c r="C38" s="10"/>
      <c r="D38" s="10"/>
    </row>
    <row r="39" customFormat="false" ht="42" hidden="false" customHeight="true" outlineLevel="0" collapsed="false">
      <c r="B39" s="19" t="s">
        <v>110</v>
      </c>
      <c r="C39" s="19"/>
      <c r="D39" s="19"/>
    </row>
    <row r="40" customFormat="false" ht="21.75" hidden="false" customHeight="true" outlineLevel="0" collapsed="false">
      <c r="B40" s="35" t="s">
        <v>111</v>
      </c>
      <c r="C40" s="35" t="s">
        <v>112</v>
      </c>
      <c r="D40" s="35" t="s">
        <v>69</v>
      </c>
    </row>
    <row r="41" customFormat="false" ht="15" hidden="false" customHeight="false" outlineLevel="0" collapsed="false">
      <c r="B41" s="7" t="s">
        <v>113</v>
      </c>
      <c r="C41" s="29" t="n">
        <v>0.15</v>
      </c>
      <c r="D41" s="29" t="n">
        <v>0.2</v>
      </c>
    </row>
    <row r="42" customFormat="false" ht="15" hidden="false" customHeight="false" outlineLevel="0" collapsed="false">
      <c r="B42" s="7" t="s">
        <v>114</v>
      </c>
      <c r="C42" s="29" t="n">
        <v>0.13</v>
      </c>
      <c r="D42" s="29" t="n">
        <v>0.2</v>
      </c>
    </row>
    <row r="43" customFormat="false" ht="15" hidden="false" customHeight="false" outlineLevel="0" collapsed="false">
      <c r="B43" s="7" t="s">
        <v>115</v>
      </c>
      <c r="C43" s="29" t="n">
        <v>0.12</v>
      </c>
      <c r="D43" s="29" t="n">
        <v>0.2</v>
      </c>
    </row>
    <row r="44" customFormat="false" ht="15" hidden="false" customHeight="false" outlineLevel="0" collapsed="false">
      <c r="B44" s="7" t="s">
        <v>116</v>
      </c>
      <c r="C44" s="29" t="n">
        <v>0.1</v>
      </c>
      <c r="D44" s="29" t="n">
        <v>0.2</v>
      </c>
    </row>
    <row r="45" customFormat="false" ht="15" hidden="false" customHeight="false" outlineLevel="0" collapsed="false">
      <c r="B45" s="7" t="s">
        <v>117</v>
      </c>
      <c r="C45" s="29" t="n">
        <v>0.09</v>
      </c>
      <c r="D45" s="29" t="n">
        <v>0.2</v>
      </c>
    </row>
    <row r="46" customFormat="false" ht="15" hidden="false" customHeight="false" outlineLevel="0" collapsed="false">
      <c r="B46" s="7" t="s">
        <v>118</v>
      </c>
      <c r="C46" s="29" t="n">
        <v>0.08</v>
      </c>
      <c r="D46" s="29" t="n">
        <v>0.2</v>
      </c>
    </row>
    <row r="47" customFormat="false" ht="15" hidden="false" customHeight="false" outlineLevel="0" collapsed="false">
      <c r="B47" s="7" t="s">
        <v>119</v>
      </c>
      <c r="C47" s="29" t="n">
        <v>0.06</v>
      </c>
      <c r="D47" s="29" t="n">
        <v>0.2</v>
      </c>
    </row>
    <row r="48" customFormat="false" ht="15" hidden="false" customHeight="false" outlineLevel="0" collapsed="false">
      <c r="B48" s="7" t="s">
        <v>120</v>
      </c>
      <c r="C48" s="29" t="n">
        <v>0.05</v>
      </c>
      <c r="D48" s="29" t="n">
        <v>0.2</v>
      </c>
    </row>
    <row r="49" customFormat="false" ht="15" hidden="false" customHeight="false" outlineLevel="0" collapsed="false">
      <c r="B49" s="7" t="s">
        <v>121</v>
      </c>
      <c r="C49" s="29" t="n">
        <v>0.04</v>
      </c>
      <c r="D49" s="29" t="n">
        <v>0.2</v>
      </c>
    </row>
    <row r="50" customFormat="false" ht="15" hidden="false" customHeight="false" outlineLevel="0" collapsed="false">
      <c r="B50" s="7" t="s">
        <v>122</v>
      </c>
      <c r="C50" s="29" t="n">
        <v>0.03</v>
      </c>
      <c r="D50" s="29" t="n">
        <v>0.2</v>
      </c>
    </row>
    <row r="51" customFormat="false" ht="15" hidden="false" customHeight="false" outlineLevel="0" collapsed="false">
      <c r="B51" s="2" t="s">
        <v>123</v>
      </c>
    </row>
  </sheetData>
  <mergeCells count="1">
    <mergeCell ref="B39:D39"/>
  </mergeCells>
  <dataValidations count="1">
    <dataValidation allowBlank="false" errorStyle="stop" operator="between" showDropDown="false" showErrorMessage="false" showInputMessage="false" sqref="C36" type="list">
      <formula1>"Perpetuity,Exit multiple"</formula1>
      <formula2>0</formula2>
    </dataValidation>
  </dataValidation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B2:M22"/>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3"/>
    <col collapsed="false" customWidth="true" hidden="false" outlineLevel="0" max="2" min="2" style="0" width="30"/>
    <col collapsed="false" customWidth="true" hidden="false" outlineLevel="0" max="13" min="3" style="0" width="11.5"/>
  </cols>
  <sheetData>
    <row r="2" customFormat="false" ht="19.7" hidden="false" customHeight="false" outlineLevel="0" collapsed="false">
      <c r="B2" s="9" t="s">
        <v>124</v>
      </c>
    </row>
    <row r="3" customFormat="false" ht="15" hidden="false" customHeight="false" outlineLevel="0" collapsed="false">
      <c r="B3" s="2" t="s">
        <v>125</v>
      </c>
    </row>
    <row r="5" customFormat="false" ht="19.5" hidden="false" customHeight="true" outlineLevel="0" collapsed="false">
      <c r="B5" s="3" t="s">
        <v>126</v>
      </c>
      <c r="C5" s="36" t="s">
        <v>127</v>
      </c>
      <c r="D5" s="36" t="s">
        <v>113</v>
      </c>
      <c r="E5" s="36" t="s">
        <v>114</v>
      </c>
      <c r="F5" s="36" t="s">
        <v>115</v>
      </c>
      <c r="G5" s="36" t="s">
        <v>116</v>
      </c>
      <c r="H5" s="36" t="s">
        <v>117</v>
      </c>
      <c r="I5" s="36" t="s">
        <v>118</v>
      </c>
      <c r="J5" s="36" t="s">
        <v>119</v>
      </c>
      <c r="K5" s="36" t="s">
        <v>120</v>
      </c>
      <c r="L5" s="36" t="s">
        <v>121</v>
      </c>
      <c r="M5" s="36" t="s">
        <v>122</v>
      </c>
    </row>
    <row r="6" customFormat="false" ht="15" hidden="false" customHeight="false" outlineLevel="0" collapsed="false">
      <c r="B6" s="37" t="s">
        <v>67</v>
      </c>
      <c r="C6" s="38" t="n">
        <f aca="false">Assumptions!$C$12</f>
        <v>10000</v>
      </c>
      <c r="D6" s="38" t="n">
        <f aca="false">C6*(1+Assumptions!$C$41)</f>
        <v>11500</v>
      </c>
      <c r="E6" s="38" t="n">
        <f aca="false">D6*(1+Assumptions!$C$42)</f>
        <v>12995</v>
      </c>
      <c r="F6" s="38" t="n">
        <f aca="false">E6*(1+Assumptions!$C$43)</f>
        <v>14554.4</v>
      </c>
      <c r="G6" s="38" t="n">
        <f aca="false">F6*(1+Assumptions!$C$44)</f>
        <v>16009.84</v>
      </c>
      <c r="H6" s="38" t="n">
        <f aca="false">G6*(1+Assumptions!$C$45)</f>
        <v>17450.7256</v>
      </c>
      <c r="I6" s="38" t="n">
        <f aca="false">H6*(1+Assumptions!$C$46)</f>
        <v>18846.783648</v>
      </c>
      <c r="J6" s="38" t="n">
        <f aca="false">I6*(1+Assumptions!$C$47)</f>
        <v>19977.59066688</v>
      </c>
      <c r="K6" s="38" t="n">
        <f aca="false">J6*(1+Assumptions!$C$48)</f>
        <v>20976.470200224</v>
      </c>
      <c r="L6" s="38" t="n">
        <f aca="false">K6*(1+Assumptions!$C$49)</f>
        <v>21815.529008233</v>
      </c>
      <c r="M6" s="38" t="n">
        <f aca="false">L6*(1+Assumptions!$C$50)</f>
        <v>22469.99487848</v>
      </c>
    </row>
    <row r="7" customFormat="false" ht="15" hidden="false" customHeight="false" outlineLevel="0" collapsed="false">
      <c r="B7" s="7" t="s">
        <v>128</v>
      </c>
      <c r="C7" s="39" t="s">
        <v>129</v>
      </c>
      <c r="D7" s="40" t="n">
        <f aca="false">Assumptions!$C$41</f>
        <v>0.15</v>
      </c>
      <c r="E7" s="40" t="n">
        <f aca="false">Assumptions!$C$42</f>
        <v>0.13</v>
      </c>
      <c r="F7" s="40" t="n">
        <f aca="false">Assumptions!$C$43</f>
        <v>0.12</v>
      </c>
      <c r="G7" s="40" t="n">
        <f aca="false">Assumptions!$C$44</f>
        <v>0.1</v>
      </c>
      <c r="H7" s="40" t="n">
        <f aca="false">Assumptions!$C$45</f>
        <v>0.09</v>
      </c>
      <c r="I7" s="40" t="n">
        <f aca="false">Assumptions!$C$46</f>
        <v>0.08</v>
      </c>
      <c r="J7" s="40" t="n">
        <f aca="false">Assumptions!$C$47</f>
        <v>0.06</v>
      </c>
      <c r="K7" s="40" t="n">
        <f aca="false">Assumptions!$C$48</f>
        <v>0.05</v>
      </c>
      <c r="L7" s="40" t="n">
        <f aca="false">Assumptions!$C$49</f>
        <v>0.04</v>
      </c>
      <c r="M7" s="40" t="n">
        <f aca="false">Assumptions!$C$50</f>
        <v>0.03</v>
      </c>
    </row>
    <row r="8" customFormat="false" ht="15" hidden="false" customHeight="false" outlineLevel="0" collapsed="false">
      <c r="B8" s="7" t="s">
        <v>130</v>
      </c>
      <c r="C8" s="41" t="n">
        <f aca="false">C6*Assumptions!$C$13</f>
        <v>2000</v>
      </c>
      <c r="D8" s="41" t="n">
        <f aca="false">D6*Assumptions!$D$41</f>
        <v>2300</v>
      </c>
      <c r="E8" s="41" t="n">
        <f aca="false">E6*Assumptions!$D$42</f>
        <v>2599</v>
      </c>
      <c r="F8" s="41" t="n">
        <f aca="false">F6*Assumptions!$D$43</f>
        <v>2910.88</v>
      </c>
      <c r="G8" s="41" t="n">
        <f aca="false">G6*Assumptions!$D$44</f>
        <v>3201.968</v>
      </c>
      <c r="H8" s="41" t="n">
        <f aca="false">H6*Assumptions!$D$45</f>
        <v>3490.14512</v>
      </c>
      <c r="I8" s="41" t="n">
        <f aca="false">I6*Assumptions!$D$46</f>
        <v>3769.3567296</v>
      </c>
      <c r="J8" s="41" t="n">
        <f aca="false">J6*Assumptions!$D$47</f>
        <v>3995.518133376</v>
      </c>
      <c r="K8" s="41" t="n">
        <f aca="false">K6*Assumptions!$D$48</f>
        <v>4195.2940400448</v>
      </c>
      <c r="L8" s="41" t="n">
        <f aca="false">L6*Assumptions!$D$49</f>
        <v>4363.10580164659</v>
      </c>
      <c r="M8" s="41" t="n">
        <f aca="false">M6*Assumptions!$D$50</f>
        <v>4493.99897569599</v>
      </c>
    </row>
    <row r="9" customFormat="false" ht="15" hidden="false" customHeight="false" outlineLevel="0" collapsed="false">
      <c r="B9" s="42" t="s">
        <v>131</v>
      </c>
      <c r="C9" s="43" t="n">
        <f aca="false">IFERROR(C8/C6,0)</f>
        <v>0.2</v>
      </c>
      <c r="D9" s="43" t="n">
        <f aca="false">Assumptions!$D$41</f>
        <v>0.2</v>
      </c>
      <c r="E9" s="43" t="n">
        <f aca="false">Assumptions!$D$42</f>
        <v>0.2</v>
      </c>
      <c r="F9" s="43" t="n">
        <f aca="false">Assumptions!$D$43</f>
        <v>0.2</v>
      </c>
      <c r="G9" s="43" t="n">
        <f aca="false">Assumptions!$D$44</f>
        <v>0.2</v>
      </c>
      <c r="H9" s="43" t="n">
        <f aca="false">Assumptions!$D$45</f>
        <v>0.2</v>
      </c>
      <c r="I9" s="43" t="n">
        <f aca="false">Assumptions!$D$46</f>
        <v>0.2</v>
      </c>
      <c r="J9" s="43" t="n">
        <f aca="false">Assumptions!$D$47</f>
        <v>0.2</v>
      </c>
      <c r="K9" s="43" t="n">
        <f aca="false">Assumptions!$D$48</f>
        <v>0.2</v>
      </c>
      <c r="L9" s="43" t="n">
        <f aca="false">Assumptions!$D$49</f>
        <v>0.2</v>
      </c>
      <c r="M9" s="43" t="n">
        <f aca="false">Assumptions!$D$50</f>
        <v>0.2</v>
      </c>
    </row>
    <row r="10" customFormat="false" ht="15" hidden="false" customHeight="false" outlineLevel="0" collapsed="false">
      <c r="B10" s="7" t="s">
        <v>132</v>
      </c>
      <c r="C10" s="39" t="s">
        <v>129</v>
      </c>
      <c r="D10" s="41" t="n">
        <f aca="false">-D8*Assumptions!$C$14</f>
        <v>-483</v>
      </c>
      <c r="E10" s="41" t="n">
        <f aca="false">-E8*Assumptions!$C$14</f>
        <v>-545.79</v>
      </c>
      <c r="F10" s="41" t="n">
        <f aca="false">-F8*Assumptions!$C$14</f>
        <v>-611.2848</v>
      </c>
      <c r="G10" s="41" t="n">
        <f aca="false">-G8*Assumptions!$C$14</f>
        <v>-672.41328</v>
      </c>
      <c r="H10" s="41" t="n">
        <f aca="false">-H8*Assumptions!$C$14</f>
        <v>-732.9304752</v>
      </c>
      <c r="I10" s="41" t="n">
        <f aca="false">-I8*Assumptions!$C$14</f>
        <v>-791.564913216</v>
      </c>
      <c r="J10" s="41" t="n">
        <f aca="false">-J8*Assumptions!$C$14</f>
        <v>-839.05880800896</v>
      </c>
      <c r="K10" s="41" t="n">
        <f aca="false">-K8*Assumptions!$C$14</f>
        <v>-881.011748409408</v>
      </c>
      <c r="L10" s="41" t="n">
        <f aca="false">-L8*Assumptions!$C$14</f>
        <v>-916.252218345785</v>
      </c>
      <c r="M10" s="41" t="n">
        <f aca="false">-M8*Assumptions!$C$14</f>
        <v>-943.739784896158</v>
      </c>
    </row>
    <row r="11" customFormat="false" ht="15" hidden="false" customHeight="false" outlineLevel="0" collapsed="false">
      <c r="B11" s="3" t="s">
        <v>133</v>
      </c>
      <c r="C11" s="39" t="s">
        <v>129</v>
      </c>
      <c r="D11" s="11" t="n">
        <f aca="false">D8+D10</f>
        <v>1817</v>
      </c>
      <c r="E11" s="11" t="n">
        <f aca="false">E8+E10</f>
        <v>2053.21</v>
      </c>
      <c r="F11" s="11" t="n">
        <f aca="false">F8+F10</f>
        <v>2299.5952</v>
      </c>
      <c r="G11" s="11" t="n">
        <f aca="false">G8+G10</f>
        <v>2529.55472</v>
      </c>
      <c r="H11" s="11" t="n">
        <f aca="false">H8+H10</f>
        <v>2757.2146448</v>
      </c>
      <c r="I11" s="11" t="n">
        <f aca="false">I8+I10</f>
        <v>2977.791816384</v>
      </c>
      <c r="J11" s="11" t="n">
        <f aca="false">J8+J10</f>
        <v>3156.45932536704</v>
      </c>
      <c r="K11" s="11" t="n">
        <f aca="false">K8+K10</f>
        <v>3314.28229163539</v>
      </c>
      <c r="L11" s="11" t="n">
        <f aca="false">L8+L10</f>
        <v>3446.85358330081</v>
      </c>
      <c r="M11" s="11" t="n">
        <f aca="false">M8+M10</f>
        <v>3550.25919079983</v>
      </c>
    </row>
    <row r="12" customFormat="false" ht="15" hidden="false" customHeight="false" outlineLevel="0" collapsed="false">
      <c r="B12" s="7" t="s">
        <v>134</v>
      </c>
      <c r="C12" s="39" t="s">
        <v>129</v>
      </c>
      <c r="D12" s="41" t="n">
        <f aca="false">D6*Assumptions!$C$15</f>
        <v>460</v>
      </c>
      <c r="E12" s="41" t="n">
        <f aca="false">E6*Assumptions!$C$15</f>
        <v>519.8</v>
      </c>
      <c r="F12" s="41" t="n">
        <f aca="false">F6*Assumptions!$C$15</f>
        <v>582.176</v>
      </c>
      <c r="G12" s="41" t="n">
        <f aca="false">G6*Assumptions!$C$15</f>
        <v>640.3936</v>
      </c>
      <c r="H12" s="41" t="n">
        <f aca="false">H6*Assumptions!$C$15</f>
        <v>698.029024</v>
      </c>
      <c r="I12" s="41" t="n">
        <f aca="false">I6*Assumptions!$C$15</f>
        <v>753.87134592</v>
      </c>
      <c r="J12" s="41" t="n">
        <f aca="false">J6*Assumptions!$C$15</f>
        <v>799.1036266752</v>
      </c>
      <c r="K12" s="41" t="n">
        <f aca="false">K6*Assumptions!$C$15</f>
        <v>839.05880800896</v>
      </c>
      <c r="L12" s="41" t="n">
        <f aca="false">L6*Assumptions!$C$15</f>
        <v>872.621160329319</v>
      </c>
      <c r="M12" s="41" t="n">
        <f aca="false">M6*Assumptions!$C$15</f>
        <v>898.799795139198</v>
      </c>
    </row>
    <row r="13" customFormat="false" ht="15" hidden="false" customHeight="false" outlineLevel="0" collapsed="false">
      <c r="B13" s="7" t="s">
        <v>135</v>
      </c>
      <c r="C13" s="39" t="s">
        <v>129</v>
      </c>
      <c r="D13" s="41" t="n">
        <f aca="false">-D6*Assumptions!$C$16</f>
        <v>-575</v>
      </c>
      <c r="E13" s="41" t="n">
        <f aca="false">-E6*Assumptions!$C$16</f>
        <v>-649.75</v>
      </c>
      <c r="F13" s="41" t="n">
        <f aca="false">-F6*Assumptions!$C$16</f>
        <v>-727.72</v>
      </c>
      <c r="G13" s="41" t="n">
        <f aca="false">-G6*Assumptions!$C$16</f>
        <v>-800.492</v>
      </c>
      <c r="H13" s="41" t="n">
        <f aca="false">-H6*Assumptions!$C$16</f>
        <v>-872.53628</v>
      </c>
      <c r="I13" s="41" t="n">
        <f aca="false">-I6*Assumptions!$C$16</f>
        <v>-942.3391824</v>
      </c>
      <c r="J13" s="41" t="n">
        <f aca="false">-J6*Assumptions!$C$16</f>
        <v>-998.879533344</v>
      </c>
      <c r="K13" s="41" t="n">
        <f aca="false">-K6*Assumptions!$C$16</f>
        <v>-1048.8235100112</v>
      </c>
      <c r="L13" s="41" t="n">
        <f aca="false">-L6*Assumptions!$C$16</f>
        <v>-1090.77645041165</v>
      </c>
      <c r="M13" s="41" t="n">
        <f aca="false">-M6*Assumptions!$C$16</f>
        <v>-1123.499743924</v>
      </c>
    </row>
    <row r="14" customFormat="false" ht="15" hidden="false" customHeight="false" outlineLevel="0" collapsed="false">
      <c r="B14" s="42" t="s">
        <v>136</v>
      </c>
      <c r="C14" s="44" t="s">
        <v>129</v>
      </c>
      <c r="D14" s="45" t="n">
        <f aca="false">-(D6-C6)*Assumptions!$C$17</f>
        <v>-150</v>
      </c>
      <c r="E14" s="45" t="n">
        <f aca="false">-(E6-D6)*Assumptions!$C$17</f>
        <v>-149.5</v>
      </c>
      <c r="F14" s="45" t="n">
        <f aca="false">-(F6-E6)*Assumptions!$C$17</f>
        <v>-155.94</v>
      </c>
      <c r="G14" s="45" t="n">
        <f aca="false">-(G6-F6)*Assumptions!$C$17</f>
        <v>-145.544</v>
      </c>
      <c r="H14" s="45" t="n">
        <f aca="false">-(H6-G6)*Assumptions!$C$17</f>
        <v>-144.08856</v>
      </c>
      <c r="I14" s="45" t="n">
        <f aca="false">-(I6-H6)*Assumptions!$C$17</f>
        <v>-139.6058048</v>
      </c>
      <c r="J14" s="45" t="n">
        <f aca="false">-(J6-I6)*Assumptions!$C$17</f>
        <v>-113.080701888</v>
      </c>
      <c r="K14" s="45" t="n">
        <f aca="false">-(K6-J6)*Assumptions!$C$17</f>
        <v>-99.8879533343999</v>
      </c>
      <c r="L14" s="45" t="n">
        <f aca="false">-(L6-K6)*Assumptions!$C$17</f>
        <v>-83.9058808008962</v>
      </c>
      <c r="M14" s="45" t="n">
        <f aca="false">-(M6-L6)*Assumptions!$C$17</f>
        <v>-65.446587024699</v>
      </c>
    </row>
    <row r="15" customFormat="false" ht="15" hidden="false" customHeight="false" outlineLevel="0" collapsed="false">
      <c r="B15" s="37" t="s">
        <v>137</v>
      </c>
      <c r="C15" s="46" t="s">
        <v>129</v>
      </c>
      <c r="D15" s="38" t="n">
        <f aca="false">D11+D12+D13+D14</f>
        <v>1552</v>
      </c>
      <c r="E15" s="38" t="n">
        <f aca="false">E11+E12+E13+E14</f>
        <v>1773.76</v>
      </c>
      <c r="F15" s="38" t="n">
        <f aca="false">F11+F12+F13+F14</f>
        <v>1998.1112</v>
      </c>
      <c r="G15" s="38" t="n">
        <f aca="false">G11+G12+G13+G14</f>
        <v>2223.91232</v>
      </c>
      <c r="H15" s="38" t="n">
        <f aca="false">H11+H12+H13+H14</f>
        <v>2438.6188288</v>
      </c>
      <c r="I15" s="38" t="n">
        <f aca="false">I11+I12+I13+I14</f>
        <v>2649.718175104</v>
      </c>
      <c r="J15" s="38" t="n">
        <f aca="false">J11+J12+J13+J14</f>
        <v>2843.60271681024</v>
      </c>
      <c r="K15" s="38" t="n">
        <f aca="false">K11+K12+K13+K14</f>
        <v>3004.62963629875</v>
      </c>
      <c r="L15" s="38" t="n">
        <f aca="false">L11+L12+L13+L14</f>
        <v>3144.79241241758</v>
      </c>
      <c r="M15" s="38" t="n">
        <f aca="false">M11+M12+M13+M14</f>
        <v>3260.11265499033</v>
      </c>
    </row>
    <row r="17" customFormat="false" ht="15" hidden="false" customHeight="false" outlineLevel="0" collapsed="false">
      <c r="B17" s="7" t="s">
        <v>138</v>
      </c>
      <c r="D17" s="47" t="n">
        <f aca="false">1/(1+Assumptions!$C$31)^1</f>
        <v>0.911577028258888</v>
      </c>
      <c r="E17" s="47" t="n">
        <f aca="false">1/(1+Assumptions!$C$31)^2</f>
        <v>0.830972678449305</v>
      </c>
      <c r="F17" s="47" t="n">
        <f aca="false">1/(1+Assumptions!$C$31)^3</f>
        <v>0.757495604785146</v>
      </c>
      <c r="G17" s="47" t="n">
        <f aca="false">1/(1+Assumptions!$C$31)^4</f>
        <v>0.690515592329213</v>
      </c>
      <c r="H17" s="47" t="n">
        <f aca="false">1/(1+Assumptions!$C$31)^5</f>
        <v>0.629458151621889</v>
      </c>
      <c r="I17" s="47" t="n">
        <f aca="false">1/(1+Assumptions!$C$31)^6</f>
        <v>0.573799591268814</v>
      </c>
      <c r="J17" s="47" t="n">
        <f aca="false">1/(1+Assumptions!$C$31)^7</f>
        <v>0.52306252622499</v>
      </c>
      <c r="K17" s="47" t="n">
        <f aca="false">1/(1+Assumptions!$C$31)^8</f>
        <v>0.476811783249763</v>
      </c>
      <c r="L17" s="47" t="n">
        <f aca="false">1/(1+Assumptions!$C$31)^9</f>
        <v>0.43465066841364</v>
      </c>
      <c r="M17" s="47" t="n">
        <f aca="false">1/(1+Assumptions!$C$31)^10</f>
        <v>0.396217564643245</v>
      </c>
    </row>
    <row r="18" customFormat="false" ht="15" hidden="false" customHeight="false" outlineLevel="0" collapsed="false">
      <c r="B18" s="37" t="s">
        <v>139</v>
      </c>
      <c r="C18" s="48"/>
      <c r="D18" s="38" t="n">
        <f aca="false">D15*D17</f>
        <v>1414.76754785779</v>
      </c>
      <c r="E18" s="38" t="n">
        <f aca="false">E15*E17</f>
        <v>1473.94609812624</v>
      </c>
      <c r="F18" s="38" t="n">
        <f aca="false">F15*F17</f>
        <v>1513.56045187197</v>
      </c>
      <c r="G18" s="38" t="n">
        <f aca="false">G15*G17</f>
        <v>1535.64613293303</v>
      </c>
      <c r="H18" s="38" t="n">
        <f aca="false">H15*H17</f>
        <v>1535.00850048678</v>
      </c>
      <c r="I18" s="38" t="n">
        <f aca="false">I15*I17</f>
        <v>1520.40720585222</v>
      </c>
      <c r="J18" s="38" t="n">
        <f aca="false">J15*J17</f>
        <v>1487.38202063501</v>
      </c>
      <c r="K18" s="38" t="n">
        <f aca="false">K15*K17</f>
        <v>1432.6428148887</v>
      </c>
      <c r="L18" s="38" t="n">
        <f aca="false">L15*L17</f>
        <v>1366.88612407945</v>
      </c>
      <c r="M18" s="38" t="n">
        <f aca="false">M15*M17</f>
        <v>1291.7138966229</v>
      </c>
    </row>
    <row r="20" customFormat="false" ht="15" hidden="false" customHeight="false" outlineLevel="0" collapsed="false">
      <c r="B20" s="5" t="s">
        <v>140</v>
      </c>
      <c r="C20" s="11" t="n">
        <f aca="false">SUM(D18:M18)</f>
        <v>14571.9607933541</v>
      </c>
    </row>
    <row r="22" customFormat="false" ht="27.75" hidden="false" customHeight="true" outlineLevel="0" collapsed="false">
      <c r="B22" s="8" t="s">
        <v>141</v>
      </c>
      <c r="C22" s="8"/>
      <c r="D22" s="8"/>
      <c r="E22" s="8"/>
      <c r="F22" s="8"/>
      <c r="G22" s="8"/>
      <c r="H22" s="8"/>
    </row>
  </sheetData>
  <mergeCells count="1">
    <mergeCell ref="B22:H22"/>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B2:E30"/>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3"/>
    <col collapsed="false" customWidth="true" hidden="false" outlineLevel="0" max="2" min="2" style="0" width="26"/>
    <col collapsed="false" customWidth="true" hidden="false" outlineLevel="0" max="4" min="3" style="0" width="20"/>
    <col collapsed="false" customWidth="true" hidden="false" outlineLevel="0" max="5" min="5" style="0" width="56"/>
  </cols>
  <sheetData>
    <row r="2" customFormat="false" ht="19.7" hidden="false" customHeight="false" outlineLevel="0" collapsed="false">
      <c r="B2" s="9" t="s">
        <v>142</v>
      </c>
    </row>
    <row r="3" customFormat="false" ht="15" hidden="false" customHeight="false" outlineLevel="0" collapsed="false">
      <c r="B3" s="2" t="s">
        <v>143</v>
      </c>
    </row>
    <row r="5" customFormat="false" ht="75.75" hidden="false" customHeight="true" outlineLevel="0" collapsed="false">
      <c r="B5" s="49" t="s">
        <v>144</v>
      </c>
      <c r="C5" s="49"/>
      <c r="D5" s="49"/>
      <c r="E5" s="49"/>
    </row>
    <row r="7" customFormat="false" ht="21.75" hidden="false" customHeight="true" outlineLevel="0" collapsed="false">
      <c r="B7" s="35" t="s">
        <v>145</v>
      </c>
      <c r="C7" s="35" t="s">
        <v>146</v>
      </c>
      <c r="D7" s="35" t="s">
        <v>147</v>
      </c>
      <c r="E7" s="35" t="s">
        <v>148</v>
      </c>
    </row>
    <row r="8" customFormat="false" ht="15" hidden="false" customHeight="false" outlineLevel="0" collapsed="false">
      <c r="B8" s="50" t="n">
        <v>0</v>
      </c>
      <c r="C8" s="51" t="n">
        <f aca="false">IFERROR((((Assumptions!$C$12*(1+$B8)*(Assumptions!$C$13*(1-Assumptions!$C$14)+Assumptions!$C$15-Assumptions!$C$16)-Assumptions!$C$12*$B8*Assumptions!$C$17)*(1+$B8)^0/(1+Assumptions!$C$31)^1+(Assumptions!$C$12*(1+$B8)*(Assumptions!$C$13*(1-Assumptions!$C$14)+Assumptions!$C$15-Assumptions!$C$16)-Assumptions!$C$12*$B8*Assumptions!$C$17)*(1+$B8)^1/(1+Assumptions!$C$31)^2+(Assumptions!$C$12*(1+$B8)*(Assumptions!$C$13*(1-Assumptions!$C$14)+Assumptions!$C$15-Assumptions!$C$16)-Assumptions!$C$12*$B8*Assumptions!$C$17)*(1+$B8)^2/(1+Assumptions!$C$31)^3+(Assumptions!$C$12*(1+$B8)*(Assumptions!$C$13*(1-Assumptions!$C$14)+Assumptions!$C$15-Assumptions!$C$16)-Assumptions!$C$12*$B8*Assumptions!$C$17)*(1+$B8)^3/(1+Assumptions!$C$31)^4+(Assumptions!$C$12*(1+$B8)*(Assumptions!$C$13*(1-Assumptions!$C$14)+Assumptions!$C$15-Assumptions!$C$16)-Assumptions!$C$12*$B8*Assumptions!$C$17)*(1+$B8)^4/(1+Assumptions!$C$31)^5+(Assumptions!$C$12*(1+$B8)*(Assumptions!$C$13*(1-Assumptions!$C$14)+Assumptions!$C$15-Assumptions!$C$16)-Assumptions!$C$12*$B8*Assumptions!$C$17)*(1+$B8)^5/(1+Assumptions!$C$31)^6+(Assumptions!$C$12*(1+$B8)*(Assumptions!$C$13*(1-Assumptions!$C$14)+Assumptions!$C$15-Assumptions!$C$16)-Assumptions!$C$12*$B8*Assumptions!$C$17)*(1+$B8)^6/(1+Assumptions!$C$31)^7+(Assumptions!$C$12*(1+$B8)*(Assumptions!$C$13*(1-Assumptions!$C$14)+Assumptions!$C$15-Assumptions!$C$16)-Assumptions!$C$12*$B8*Assumptions!$C$17)*(1+$B8)^7/(1+Assumptions!$C$31)^8+(Assumptions!$C$12*(1+$B8)*(Assumptions!$C$13*(1-Assumptions!$C$14)+Assumptions!$C$15-Assumptions!$C$16)-Assumptions!$C$12*$B8*Assumptions!$C$17)*(1+$B8)^8/(1+Assumptions!$C$31)^9+(Assumptions!$C$12*(1+$B8)*(Assumptions!$C$13*(1-Assumptions!$C$14)+Assumptions!$C$15-Assumptions!$C$16)-Assumptions!$C$12*$B8*Assumptions!$C$17)*(1+$B8)^9/(1+Assumptions!$C$31)^10)+(Assumptions!$C$12*(1+$B8)*(Assumptions!$C$13*(1-Assumptions!$C$14)+Assumptions!$C$15-Assumptions!$C$16)-Assumptions!$C$12*$B8*Assumptions!$C$17)*(1+$B8)^9*(1+Assumptions!$C$34)/(Assumptions!$C$31-Assumptions!$C$34)/(1+Assumptions!$C$31)^10-Assumptions!$C$22)/Assumptions!$C$9,NA())</f>
        <v>18.5604345262464</v>
      </c>
      <c r="D8" s="52" t="n">
        <f aca="false">IFERROR(C8/Assumptions!$C$7-1,NA())</f>
        <v>-0.419986421054801</v>
      </c>
      <c r="E8" s="53" t="str">
        <f aca="false">IFERROR(IF(ABS(D8)&lt;0.05,"&lt;&lt;&lt; close to the implied rate",IF(D8&lt;0,"below today's price","above today's price")),"")</f>
        <v>below today's price</v>
      </c>
    </row>
    <row r="9" customFormat="false" ht="15" hidden="false" customHeight="false" outlineLevel="0" collapsed="false">
      <c r="B9" s="54" t="n">
        <v>0.02</v>
      </c>
      <c r="C9" s="55" t="n">
        <f aca="false">IFERROR((((Assumptions!$C$12*(1+$B9)*(Assumptions!$C$13*(1-Assumptions!$C$14)+Assumptions!$C$15-Assumptions!$C$16)-Assumptions!$C$12*$B9*Assumptions!$C$17)*(1+$B9)^0/(1+Assumptions!$C$31)^1+(Assumptions!$C$12*(1+$B9)*(Assumptions!$C$13*(1-Assumptions!$C$14)+Assumptions!$C$15-Assumptions!$C$16)-Assumptions!$C$12*$B9*Assumptions!$C$17)*(1+$B9)^1/(1+Assumptions!$C$31)^2+(Assumptions!$C$12*(1+$B9)*(Assumptions!$C$13*(1-Assumptions!$C$14)+Assumptions!$C$15-Assumptions!$C$16)-Assumptions!$C$12*$B9*Assumptions!$C$17)*(1+$B9)^2/(1+Assumptions!$C$31)^3+(Assumptions!$C$12*(1+$B9)*(Assumptions!$C$13*(1-Assumptions!$C$14)+Assumptions!$C$15-Assumptions!$C$16)-Assumptions!$C$12*$B9*Assumptions!$C$17)*(1+$B9)^3/(1+Assumptions!$C$31)^4+(Assumptions!$C$12*(1+$B9)*(Assumptions!$C$13*(1-Assumptions!$C$14)+Assumptions!$C$15-Assumptions!$C$16)-Assumptions!$C$12*$B9*Assumptions!$C$17)*(1+$B9)^4/(1+Assumptions!$C$31)^5+(Assumptions!$C$12*(1+$B9)*(Assumptions!$C$13*(1-Assumptions!$C$14)+Assumptions!$C$15-Assumptions!$C$16)-Assumptions!$C$12*$B9*Assumptions!$C$17)*(1+$B9)^5/(1+Assumptions!$C$31)^6+(Assumptions!$C$12*(1+$B9)*(Assumptions!$C$13*(1-Assumptions!$C$14)+Assumptions!$C$15-Assumptions!$C$16)-Assumptions!$C$12*$B9*Assumptions!$C$17)*(1+$B9)^6/(1+Assumptions!$C$31)^7+(Assumptions!$C$12*(1+$B9)*(Assumptions!$C$13*(1-Assumptions!$C$14)+Assumptions!$C$15-Assumptions!$C$16)-Assumptions!$C$12*$B9*Assumptions!$C$17)*(1+$B9)^7/(1+Assumptions!$C$31)^8+(Assumptions!$C$12*(1+$B9)*(Assumptions!$C$13*(1-Assumptions!$C$14)+Assumptions!$C$15-Assumptions!$C$16)-Assumptions!$C$12*$B9*Assumptions!$C$17)*(1+$B9)^8/(1+Assumptions!$C$31)^9+(Assumptions!$C$12*(1+$B9)*(Assumptions!$C$13*(1-Assumptions!$C$14)+Assumptions!$C$15-Assumptions!$C$16)-Assumptions!$C$12*$B9*Assumptions!$C$17)*(1+$B9)^9/(1+Assumptions!$C$31)^10)+(Assumptions!$C$12*(1+$B9)*(Assumptions!$C$13*(1-Assumptions!$C$14)+Assumptions!$C$15-Assumptions!$C$16)-Assumptions!$C$12*$B9*Assumptions!$C$17)*(1+$B9)^9*(1+Assumptions!$C$34)/(Assumptions!$C$31-Assumptions!$C$34)/(1+Assumptions!$C$31)^10-Assumptions!$C$22)/Assumptions!$C$9,NA())</f>
        <v>21.0432985377892</v>
      </c>
      <c r="D9" s="40" t="n">
        <f aca="false">IFERROR(C9/Assumptions!$C$7-1,NA())</f>
        <v>-0.342396920694089</v>
      </c>
      <c r="E9" s="56" t="str">
        <f aca="false">IFERROR(IF(ABS(D9)&lt;0.05,"&lt;&lt;&lt; close to the implied rate",IF(D9&lt;0,"below today's price","above today's price")),"")</f>
        <v>below today's price</v>
      </c>
    </row>
    <row r="10" customFormat="false" ht="15" hidden="false" customHeight="false" outlineLevel="0" collapsed="false">
      <c r="B10" s="50" t="n">
        <v>0.04</v>
      </c>
      <c r="C10" s="51" t="n">
        <f aca="false">IFERROR((((Assumptions!$C$12*(1+$B10)*(Assumptions!$C$13*(1-Assumptions!$C$14)+Assumptions!$C$15-Assumptions!$C$16)-Assumptions!$C$12*$B10*Assumptions!$C$17)*(1+$B10)^0/(1+Assumptions!$C$31)^1+(Assumptions!$C$12*(1+$B10)*(Assumptions!$C$13*(1-Assumptions!$C$14)+Assumptions!$C$15-Assumptions!$C$16)-Assumptions!$C$12*$B10*Assumptions!$C$17)*(1+$B10)^1/(1+Assumptions!$C$31)^2+(Assumptions!$C$12*(1+$B10)*(Assumptions!$C$13*(1-Assumptions!$C$14)+Assumptions!$C$15-Assumptions!$C$16)-Assumptions!$C$12*$B10*Assumptions!$C$17)*(1+$B10)^2/(1+Assumptions!$C$31)^3+(Assumptions!$C$12*(1+$B10)*(Assumptions!$C$13*(1-Assumptions!$C$14)+Assumptions!$C$15-Assumptions!$C$16)-Assumptions!$C$12*$B10*Assumptions!$C$17)*(1+$B10)^3/(1+Assumptions!$C$31)^4+(Assumptions!$C$12*(1+$B10)*(Assumptions!$C$13*(1-Assumptions!$C$14)+Assumptions!$C$15-Assumptions!$C$16)-Assumptions!$C$12*$B10*Assumptions!$C$17)*(1+$B10)^4/(1+Assumptions!$C$31)^5+(Assumptions!$C$12*(1+$B10)*(Assumptions!$C$13*(1-Assumptions!$C$14)+Assumptions!$C$15-Assumptions!$C$16)-Assumptions!$C$12*$B10*Assumptions!$C$17)*(1+$B10)^5/(1+Assumptions!$C$31)^6+(Assumptions!$C$12*(1+$B10)*(Assumptions!$C$13*(1-Assumptions!$C$14)+Assumptions!$C$15-Assumptions!$C$16)-Assumptions!$C$12*$B10*Assumptions!$C$17)*(1+$B10)^6/(1+Assumptions!$C$31)^7+(Assumptions!$C$12*(1+$B10)*(Assumptions!$C$13*(1-Assumptions!$C$14)+Assumptions!$C$15-Assumptions!$C$16)-Assumptions!$C$12*$B10*Assumptions!$C$17)*(1+$B10)^7/(1+Assumptions!$C$31)^8+(Assumptions!$C$12*(1+$B10)*(Assumptions!$C$13*(1-Assumptions!$C$14)+Assumptions!$C$15-Assumptions!$C$16)-Assumptions!$C$12*$B10*Assumptions!$C$17)*(1+$B10)^8/(1+Assumptions!$C$31)^9+(Assumptions!$C$12*(1+$B10)*(Assumptions!$C$13*(1-Assumptions!$C$14)+Assumptions!$C$15-Assumptions!$C$16)-Assumptions!$C$12*$B10*Assumptions!$C$17)*(1+$B10)^9/(1+Assumptions!$C$31)^10)+(Assumptions!$C$12*(1+$B10)*(Assumptions!$C$13*(1-Assumptions!$C$14)+Assumptions!$C$15-Assumptions!$C$16)-Assumptions!$C$12*$B10*Assumptions!$C$17)*(1+$B10)^9*(1+Assumptions!$C$34)/(Assumptions!$C$31-Assumptions!$C$34)/(1+Assumptions!$C$31)^10-Assumptions!$C$22)/Assumptions!$C$9,NA())</f>
        <v>23.9118778099396</v>
      </c>
      <c r="D10" s="52" t="n">
        <f aca="false">IFERROR(C10/Assumptions!$C$7-1,NA())</f>
        <v>-0.252753818439389</v>
      </c>
      <c r="E10" s="53" t="str">
        <f aca="false">IFERROR(IF(ABS(D10)&lt;0.05,"&lt;&lt;&lt; close to the implied rate",IF(D10&lt;0,"below today's price","above today's price")),"")</f>
        <v>below today's price</v>
      </c>
    </row>
    <row r="11" customFormat="false" ht="15" hidden="false" customHeight="false" outlineLevel="0" collapsed="false">
      <c r="B11" s="54" t="n">
        <v>0.06</v>
      </c>
      <c r="C11" s="55" t="n">
        <f aca="false">IFERROR((((Assumptions!$C$12*(1+$B11)*(Assumptions!$C$13*(1-Assumptions!$C$14)+Assumptions!$C$15-Assumptions!$C$16)-Assumptions!$C$12*$B11*Assumptions!$C$17)*(1+$B11)^0/(1+Assumptions!$C$31)^1+(Assumptions!$C$12*(1+$B11)*(Assumptions!$C$13*(1-Assumptions!$C$14)+Assumptions!$C$15-Assumptions!$C$16)-Assumptions!$C$12*$B11*Assumptions!$C$17)*(1+$B11)^1/(1+Assumptions!$C$31)^2+(Assumptions!$C$12*(1+$B11)*(Assumptions!$C$13*(1-Assumptions!$C$14)+Assumptions!$C$15-Assumptions!$C$16)-Assumptions!$C$12*$B11*Assumptions!$C$17)*(1+$B11)^2/(1+Assumptions!$C$31)^3+(Assumptions!$C$12*(1+$B11)*(Assumptions!$C$13*(1-Assumptions!$C$14)+Assumptions!$C$15-Assumptions!$C$16)-Assumptions!$C$12*$B11*Assumptions!$C$17)*(1+$B11)^3/(1+Assumptions!$C$31)^4+(Assumptions!$C$12*(1+$B11)*(Assumptions!$C$13*(1-Assumptions!$C$14)+Assumptions!$C$15-Assumptions!$C$16)-Assumptions!$C$12*$B11*Assumptions!$C$17)*(1+$B11)^4/(1+Assumptions!$C$31)^5+(Assumptions!$C$12*(1+$B11)*(Assumptions!$C$13*(1-Assumptions!$C$14)+Assumptions!$C$15-Assumptions!$C$16)-Assumptions!$C$12*$B11*Assumptions!$C$17)*(1+$B11)^5/(1+Assumptions!$C$31)^6+(Assumptions!$C$12*(1+$B11)*(Assumptions!$C$13*(1-Assumptions!$C$14)+Assumptions!$C$15-Assumptions!$C$16)-Assumptions!$C$12*$B11*Assumptions!$C$17)*(1+$B11)^6/(1+Assumptions!$C$31)^7+(Assumptions!$C$12*(1+$B11)*(Assumptions!$C$13*(1-Assumptions!$C$14)+Assumptions!$C$15-Assumptions!$C$16)-Assumptions!$C$12*$B11*Assumptions!$C$17)*(1+$B11)^7/(1+Assumptions!$C$31)^8+(Assumptions!$C$12*(1+$B11)*(Assumptions!$C$13*(1-Assumptions!$C$14)+Assumptions!$C$15-Assumptions!$C$16)-Assumptions!$C$12*$B11*Assumptions!$C$17)*(1+$B11)^8/(1+Assumptions!$C$31)^9+(Assumptions!$C$12*(1+$B11)*(Assumptions!$C$13*(1-Assumptions!$C$14)+Assumptions!$C$15-Assumptions!$C$16)-Assumptions!$C$12*$B11*Assumptions!$C$17)*(1+$B11)^9/(1+Assumptions!$C$31)^10)+(Assumptions!$C$12*(1+$B11)*(Assumptions!$C$13*(1-Assumptions!$C$14)+Assumptions!$C$15-Assumptions!$C$16)-Assumptions!$C$12*$B11*Assumptions!$C$17)*(1+$B11)^9*(1+Assumptions!$C$34)/(Assumptions!$C$31-Assumptions!$C$34)/(1+Assumptions!$C$31)^10-Assumptions!$C$22)/Assumptions!$C$9,NA())</f>
        <v>27.2218222785364</v>
      </c>
      <c r="D11" s="40" t="n">
        <f aca="false">IFERROR(C11/Assumptions!$C$7-1,NA())</f>
        <v>-0.149318053795738</v>
      </c>
      <c r="E11" s="56" t="str">
        <f aca="false">IFERROR(IF(ABS(D11)&lt;0.05,"&lt;&lt;&lt; close to the implied rate",IF(D11&lt;0,"below today's price","above today's price")),"")</f>
        <v>below today's price</v>
      </c>
    </row>
    <row r="12" customFormat="false" ht="15" hidden="false" customHeight="false" outlineLevel="0" collapsed="false">
      <c r="B12" s="50" t="n">
        <v>0.08</v>
      </c>
      <c r="C12" s="51" t="n">
        <f aca="false">IFERROR((((Assumptions!$C$12*(1+$B12)*(Assumptions!$C$13*(1-Assumptions!$C$14)+Assumptions!$C$15-Assumptions!$C$16)-Assumptions!$C$12*$B12*Assumptions!$C$17)*(1+$B12)^0/(1+Assumptions!$C$31)^1+(Assumptions!$C$12*(1+$B12)*(Assumptions!$C$13*(1-Assumptions!$C$14)+Assumptions!$C$15-Assumptions!$C$16)-Assumptions!$C$12*$B12*Assumptions!$C$17)*(1+$B12)^1/(1+Assumptions!$C$31)^2+(Assumptions!$C$12*(1+$B12)*(Assumptions!$C$13*(1-Assumptions!$C$14)+Assumptions!$C$15-Assumptions!$C$16)-Assumptions!$C$12*$B12*Assumptions!$C$17)*(1+$B12)^2/(1+Assumptions!$C$31)^3+(Assumptions!$C$12*(1+$B12)*(Assumptions!$C$13*(1-Assumptions!$C$14)+Assumptions!$C$15-Assumptions!$C$16)-Assumptions!$C$12*$B12*Assumptions!$C$17)*(1+$B12)^3/(1+Assumptions!$C$31)^4+(Assumptions!$C$12*(1+$B12)*(Assumptions!$C$13*(1-Assumptions!$C$14)+Assumptions!$C$15-Assumptions!$C$16)-Assumptions!$C$12*$B12*Assumptions!$C$17)*(1+$B12)^4/(1+Assumptions!$C$31)^5+(Assumptions!$C$12*(1+$B12)*(Assumptions!$C$13*(1-Assumptions!$C$14)+Assumptions!$C$15-Assumptions!$C$16)-Assumptions!$C$12*$B12*Assumptions!$C$17)*(1+$B12)^5/(1+Assumptions!$C$31)^6+(Assumptions!$C$12*(1+$B12)*(Assumptions!$C$13*(1-Assumptions!$C$14)+Assumptions!$C$15-Assumptions!$C$16)-Assumptions!$C$12*$B12*Assumptions!$C$17)*(1+$B12)^6/(1+Assumptions!$C$31)^7+(Assumptions!$C$12*(1+$B12)*(Assumptions!$C$13*(1-Assumptions!$C$14)+Assumptions!$C$15-Assumptions!$C$16)-Assumptions!$C$12*$B12*Assumptions!$C$17)*(1+$B12)^7/(1+Assumptions!$C$31)^8+(Assumptions!$C$12*(1+$B12)*(Assumptions!$C$13*(1-Assumptions!$C$14)+Assumptions!$C$15-Assumptions!$C$16)-Assumptions!$C$12*$B12*Assumptions!$C$17)*(1+$B12)^8/(1+Assumptions!$C$31)^9+(Assumptions!$C$12*(1+$B12)*(Assumptions!$C$13*(1-Assumptions!$C$14)+Assumptions!$C$15-Assumptions!$C$16)-Assumptions!$C$12*$B12*Assumptions!$C$17)*(1+$B12)^9/(1+Assumptions!$C$31)^10)+(Assumptions!$C$12*(1+$B12)*(Assumptions!$C$13*(1-Assumptions!$C$14)+Assumptions!$C$15-Assumptions!$C$16)-Assumptions!$C$12*$B12*Assumptions!$C$17)*(1+$B12)^9*(1+Assumptions!$C$34)/(Assumptions!$C$31-Assumptions!$C$34)/(1+Assumptions!$C$31)^10-Assumptions!$C$22)/Assumptions!$C$9,NA())</f>
        <v>31.0358148270709</v>
      </c>
      <c r="D12" s="52" t="n">
        <f aca="false">IFERROR(C12/Assumptions!$C$7-1,NA())</f>
        <v>-0.0301307866540335</v>
      </c>
      <c r="E12" s="53" t="str">
        <f aca="false">IFERROR(IF(ABS(D12)&lt;0.05,"&lt;&lt;&lt; close to the implied rate",IF(D12&lt;0,"below today's price","above today's price")),"")</f>
        <v>&lt;&lt;&lt; close to the implied rate</v>
      </c>
    </row>
    <row r="13" customFormat="false" ht="15" hidden="false" customHeight="false" outlineLevel="0" collapsed="false">
      <c r="B13" s="54" t="n">
        <v>0.1</v>
      </c>
      <c r="C13" s="55" t="n">
        <f aca="false">IFERROR((((Assumptions!$C$12*(1+$B13)*(Assumptions!$C$13*(1-Assumptions!$C$14)+Assumptions!$C$15-Assumptions!$C$16)-Assumptions!$C$12*$B13*Assumptions!$C$17)*(1+$B13)^0/(1+Assumptions!$C$31)^1+(Assumptions!$C$12*(1+$B13)*(Assumptions!$C$13*(1-Assumptions!$C$14)+Assumptions!$C$15-Assumptions!$C$16)-Assumptions!$C$12*$B13*Assumptions!$C$17)*(1+$B13)^1/(1+Assumptions!$C$31)^2+(Assumptions!$C$12*(1+$B13)*(Assumptions!$C$13*(1-Assumptions!$C$14)+Assumptions!$C$15-Assumptions!$C$16)-Assumptions!$C$12*$B13*Assumptions!$C$17)*(1+$B13)^2/(1+Assumptions!$C$31)^3+(Assumptions!$C$12*(1+$B13)*(Assumptions!$C$13*(1-Assumptions!$C$14)+Assumptions!$C$15-Assumptions!$C$16)-Assumptions!$C$12*$B13*Assumptions!$C$17)*(1+$B13)^3/(1+Assumptions!$C$31)^4+(Assumptions!$C$12*(1+$B13)*(Assumptions!$C$13*(1-Assumptions!$C$14)+Assumptions!$C$15-Assumptions!$C$16)-Assumptions!$C$12*$B13*Assumptions!$C$17)*(1+$B13)^4/(1+Assumptions!$C$31)^5+(Assumptions!$C$12*(1+$B13)*(Assumptions!$C$13*(1-Assumptions!$C$14)+Assumptions!$C$15-Assumptions!$C$16)-Assumptions!$C$12*$B13*Assumptions!$C$17)*(1+$B13)^5/(1+Assumptions!$C$31)^6+(Assumptions!$C$12*(1+$B13)*(Assumptions!$C$13*(1-Assumptions!$C$14)+Assumptions!$C$15-Assumptions!$C$16)-Assumptions!$C$12*$B13*Assumptions!$C$17)*(1+$B13)^6/(1+Assumptions!$C$31)^7+(Assumptions!$C$12*(1+$B13)*(Assumptions!$C$13*(1-Assumptions!$C$14)+Assumptions!$C$15-Assumptions!$C$16)-Assumptions!$C$12*$B13*Assumptions!$C$17)*(1+$B13)^7/(1+Assumptions!$C$31)^8+(Assumptions!$C$12*(1+$B13)*(Assumptions!$C$13*(1-Assumptions!$C$14)+Assumptions!$C$15-Assumptions!$C$16)-Assumptions!$C$12*$B13*Assumptions!$C$17)*(1+$B13)^8/(1+Assumptions!$C$31)^9+(Assumptions!$C$12*(1+$B13)*(Assumptions!$C$13*(1-Assumptions!$C$14)+Assumptions!$C$15-Assumptions!$C$16)-Assumptions!$C$12*$B13*Assumptions!$C$17)*(1+$B13)^9/(1+Assumptions!$C$31)^10)+(Assumptions!$C$12*(1+$B13)*(Assumptions!$C$13*(1-Assumptions!$C$14)+Assumptions!$C$15-Assumptions!$C$16)-Assumptions!$C$12*$B13*Assumptions!$C$17)*(1+$B13)^9*(1+Assumptions!$C$34)/(Assumptions!$C$31-Assumptions!$C$34)/(1+Assumptions!$C$31)^10-Assumptions!$C$22)/Assumptions!$C$9,NA())</f>
        <v>35.4243225991998</v>
      </c>
      <c r="D13" s="40" t="n">
        <f aca="false">IFERROR(C13/Assumptions!$C$7-1,NA())</f>
        <v>0.107010081224993</v>
      </c>
      <c r="E13" s="56" t="str">
        <f aca="false">IFERROR(IF(ABS(D13)&lt;0.05,"&lt;&lt;&lt; close to the implied rate",IF(D13&lt;0,"below today's price","above today's price")),"")</f>
        <v>above today's price</v>
      </c>
    </row>
    <row r="14" customFormat="false" ht="15" hidden="false" customHeight="false" outlineLevel="0" collapsed="false">
      <c r="B14" s="50" t="n">
        <v>0.12</v>
      </c>
      <c r="C14" s="51" t="n">
        <f aca="false">IFERROR((((Assumptions!$C$12*(1+$B14)*(Assumptions!$C$13*(1-Assumptions!$C$14)+Assumptions!$C$15-Assumptions!$C$16)-Assumptions!$C$12*$B14*Assumptions!$C$17)*(1+$B14)^0/(1+Assumptions!$C$31)^1+(Assumptions!$C$12*(1+$B14)*(Assumptions!$C$13*(1-Assumptions!$C$14)+Assumptions!$C$15-Assumptions!$C$16)-Assumptions!$C$12*$B14*Assumptions!$C$17)*(1+$B14)^1/(1+Assumptions!$C$31)^2+(Assumptions!$C$12*(1+$B14)*(Assumptions!$C$13*(1-Assumptions!$C$14)+Assumptions!$C$15-Assumptions!$C$16)-Assumptions!$C$12*$B14*Assumptions!$C$17)*(1+$B14)^2/(1+Assumptions!$C$31)^3+(Assumptions!$C$12*(1+$B14)*(Assumptions!$C$13*(1-Assumptions!$C$14)+Assumptions!$C$15-Assumptions!$C$16)-Assumptions!$C$12*$B14*Assumptions!$C$17)*(1+$B14)^3/(1+Assumptions!$C$31)^4+(Assumptions!$C$12*(1+$B14)*(Assumptions!$C$13*(1-Assumptions!$C$14)+Assumptions!$C$15-Assumptions!$C$16)-Assumptions!$C$12*$B14*Assumptions!$C$17)*(1+$B14)^4/(1+Assumptions!$C$31)^5+(Assumptions!$C$12*(1+$B14)*(Assumptions!$C$13*(1-Assumptions!$C$14)+Assumptions!$C$15-Assumptions!$C$16)-Assumptions!$C$12*$B14*Assumptions!$C$17)*(1+$B14)^5/(1+Assumptions!$C$31)^6+(Assumptions!$C$12*(1+$B14)*(Assumptions!$C$13*(1-Assumptions!$C$14)+Assumptions!$C$15-Assumptions!$C$16)-Assumptions!$C$12*$B14*Assumptions!$C$17)*(1+$B14)^6/(1+Assumptions!$C$31)^7+(Assumptions!$C$12*(1+$B14)*(Assumptions!$C$13*(1-Assumptions!$C$14)+Assumptions!$C$15-Assumptions!$C$16)-Assumptions!$C$12*$B14*Assumptions!$C$17)*(1+$B14)^7/(1+Assumptions!$C$31)^8+(Assumptions!$C$12*(1+$B14)*(Assumptions!$C$13*(1-Assumptions!$C$14)+Assumptions!$C$15-Assumptions!$C$16)-Assumptions!$C$12*$B14*Assumptions!$C$17)*(1+$B14)^8/(1+Assumptions!$C$31)^9+(Assumptions!$C$12*(1+$B14)*(Assumptions!$C$13*(1-Assumptions!$C$14)+Assumptions!$C$15-Assumptions!$C$16)-Assumptions!$C$12*$B14*Assumptions!$C$17)*(1+$B14)^9/(1+Assumptions!$C$31)^10)+(Assumptions!$C$12*(1+$B14)*(Assumptions!$C$13*(1-Assumptions!$C$14)+Assumptions!$C$15-Assumptions!$C$16)-Assumptions!$C$12*$B14*Assumptions!$C$17)*(1+$B14)^9*(1+Assumptions!$C$34)/(Assumptions!$C$31-Assumptions!$C$34)/(1+Assumptions!$C$31)^10-Assumptions!$C$22)/Assumptions!$C$9,NA())</f>
        <v>40.4664138043516</v>
      </c>
      <c r="D14" s="52" t="n">
        <f aca="false">IFERROR(C14/Assumptions!$C$7-1,NA())</f>
        <v>0.264575431385988</v>
      </c>
      <c r="E14" s="53" t="str">
        <f aca="false">IFERROR(IF(ABS(D14)&lt;0.05,"&lt;&lt;&lt; close to the implied rate",IF(D14&lt;0,"below today's price","above today's price")),"")</f>
        <v>above today's price</v>
      </c>
    </row>
    <row r="15" customFormat="false" ht="15" hidden="false" customHeight="false" outlineLevel="0" collapsed="false">
      <c r="B15" s="54" t="n">
        <v>0.14</v>
      </c>
      <c r="C15" s="55" t="n">
        <f aca="false">IFERROR((((Assumptions!$C$12*(1+$B15)*(Assumptions!$C$13*(1-Assumptions!$C$14)+Assumptions!$C$15-Assumptions!$C$16)-Assumptions!$C$12*$B15*Assumptions!$C$17)*(1+$B15)^0/(1+Assumptions!$C$31)^1+(Assumptions!$C$12*(1+$B15)*(Assumptions!$C$13*(1-Assumptions!$C$14)+Assumptions!$C$15-Assumptions!$C$16)-Assumptions!$C$12*$B15*Assumptions!$C$17)*(1+$B15)^1/(1+Assumptions!$C$31)^2+(Assumptions!$C$12*(1+$B15)*(Assumptions!$C$13*(1-Assumptions!$C$14)+Assumptions!$C$15-Assumptions!$C$16)-Assumptions!$C$12*$B15*Assumptions!$C$17)*(1+$B15)^2/(1+Assumptions!$C$31)^3+(Assumptions!$C$12*(1+$B15)*(Assumptions!$C$13*(1-Assumptions!$C$14)+Assumptions!$C$15-Assumptions!$C$16)-Assumptions!$C$12*$B15*Assumptions!$C$17)*(1+$B15)^3/(1+Assumptions!$C$31)^4+(Assumptions!$C$12*(1+$B15)*(Assumptions!$C$13*(1-Assumptions!$C$14)+Assumptions!$C$15-Assumptions!$C$16)-Assumptions!$C$12*$B15*Assumptions!$C$17)*(1+$B15)^4/(1+Assumptions!$C$31)^5+(Assumptions!$C$12*(1+$B15)*(Assumptions!$C$13*(1-Assumptions!$C$14)+Assumptions!$C$15-Assumptions!$C$16)-Assumptions!$C$12*$B15*Assumptions!$C$17)*(1+$B15)^5/(1+Assumptions!$C$31)^6+(Assumptions!$C$12*(1+$B15)*(Assumptions!$C$13*(1-Assumptions!$C$14)+Assumptions!$C$15-Assumptions!$C$16)-Assumptions!$C$12*$B15*Assumptions!$C$17)*(1+$B15)^6/(1+Assumptions!$C$31)^7+(Assumptions!$C$12*(1+$B15)*(Assumptions!$C$13*(1-Assumptions!$C$14)+Assumptions!$C$15-Assumptions!$C$16)-Assumptions!$C$12*$B15*Assumptions!$C$17)*(1+$B15)^7/(1+Assumptions!$C$31)^8+(Assumptions!$C$12*(1+$B15)*(Assumptions!$C$13*(1-Assumptions!$C$14)+Assumptions!$C$15-Assumptions!$C$16)-Assumptions!$C$12*$B15*Assumptions!$C$17)*(1+$B15)^8/(1+Assumptions!$C$31)^9+(Assumptions!$C$12*(1+$B15)*(Assumptions!$C$13*(1-Assumptions!$C$14)+Assumptions!$C$15-Assumptions!$C$16)-Assumptions!$C$12*$B15*Assumptions!$C$17)*(1+$B15)^9/(1+Assumptions!$C$31)^10)+(Assumptions!$C$12*(1+$B15)*(Assumptions!$C$13*(1-Assumptions!$C$14)+Assumptions!$C$15-Assumptions!$C$16)-Assumptions!$C$12*$B15*Assumptions!$C$17)*(1+$B15)^9*(1+Assumptions!$C$34)/(Assumptions!$C$31-Assumptions!$C$34)/(1+Assumptions!$C$31)^10-Assumptions!$C$22)/Assumptions!$C$9,NA())</f>
        <v>46.2506444684526</v>
      </c>
      <c r="D15" s="40" t="n">
        <f aca="false">IFERROR(C15/Assumptions!$C$7-1,NA())</f>
        <v>0.445332639639144</v>
      </c>
      <c r="E15" s="56" t="str">
        <f aca="false">IFERROR(IF(ABS(D15)&lt;0.05,"&lt;&lt;&lt; close to the implied rate",IF(D15&lt;0,"below today's price","above today's price")),"")</f>
        <v>above today's price</v>
      </c>
    </row>
    <row r="16" customFormat="false" ht="15" hidden="false" customHeight="false" outlineLevel="0" collapsed="false">
      <c r="B16" s="50" t="n">
        <v>0.16</v>
      </c>
      <c r="C16" s="51" t="n">
        <f aca="false">IFERROR((((Assumptions!$C$12*(1+$B16)*(Assumptions!$C$13*(1-Assumptions!$C$14)+Assumptions!$C$15-Assumptions!$C$16)-Assumptions!$C$12*$B16*Assumptions!$C$17)*(1+$B16)^0/(1+Assumptions!$C$31)^1+(Assumptions!$C$12*(1+$B16)*(Assumptions!$C$13*(1-Assumptions!$C$14)+Assumptions!$C$15-Assumptions!$C$16)-Assumptions!$C$12*$B16*Assumptions!$C$17)*(1+$B16)^1/(1+Assumptions!$C$31)^2+(Assumptions!$C$12*(1+$B16)*(Assumptions!$C$13*(1-Assumptions!$C$14)+Assumptions!$C$15-Assumptions!$C$16)-Assumptions!$C$12*$B16*Assumptions!$C$17)*(1+$B16)^2/(1+Assumptions!$C$31)^3+(Assumptions!$C$12*(1+$B16)*(Assumptions!$C$13*(1-Assumptions!$C$14)+Assumptions!$C$15-Assumptions!$C$16)-Assumptions!$C$12*$B16*Assumptions!$C$17)*(1+$B16)^3/(1+Assumptions!$C$31)^4+(Assumptions!$C$12*(1+$B16)*(Assumptions!$C$13*(1-Assumptions!$C$14)+Assumptions!$C$15-Assumptions!$C$16)-Assumptions!$C$12*$B16*Assumptions!$C$17)*(1+$B16)^4/(1+Assumptions!$C$31)^5+(Assumptions!$C$12*(1+$B16)*(Assumptions!$C$13*(1-Assumptions!$C$14)+Assumptions!$C$15-Assumptions!$C$16)-Assumptions!$C$12*$B16*Assumptions!$C$17)*(1+$B16)^5/(1+Assumptions!$C$31)^6+(Assumptions!$C$12*(1+$B16)*(Assumptions!$C$13*(1-Assumptions!$C$14)+Assumptions!$C$15-Assumptions!$C$16)-Assumptions!$C$12*$B16*Assumptions!$C$17)*(1+$B16)^6/(1+Assumptions!$C$31)^7+(Assumptions!$C$12*(1+$B16)*(Assumptions!$C$13*(1-Assumptions!$C$14)+Assumptions!$C$15-Assumptions!$C$16)-Assumptions!$C$12*$B16*Assumptions!$C$17)*(1+$B16)^7/(1+Assumptions!$C$31)^8+(Assumptions!$C$12*(1+$B16)*(Assumptions!$C$13*(1-Assumptions!$C$14)+Assumptions!$C$15-Assumptions!$C$16)-Assumptions!$C$12*$B16*Assumptions!$C$17)*(1+$B16)^8/(1+Assumptions!$C$31)^9+(Assumptions!$C$12*(1+$B16)*(Assumptions!$C$13*(1-Assumptions!$C$14)+Assumptions!$C$15-Assumptions!$C$16)-Assumptions!$C$12*$B16*Assumptions!$C$17)*(1+$B16)^9/(1+Assumptions!$C$31)^10)+(Assumptions!$C$12*(1+$B16)*(Assumptions!$C$13*(1-Assumptions!$C$14)+Assumptions!$C$15-Assumptions!$C$16)-Assumptions!$C$12*$B16*Assumptions!$C$17)*(1+$B16)^9*(1+Assumptions!$C$34)/(Assumptions!$C$31-Assumptions!$C$34)/(1+Assumptions!$C$31)^10-Assumptions!$C$22)/Assumptions!$C$9,NA())</f>
        <v>52.8760198021649</v>
      </c>
      <c r="D16" s="52" t="n">
        <f aca="false">IFERROR(C16/Assumptions!$C$7-1,NA())</f>
        <v>0.652375618817652</v>
      </c>
      <c r="E16" s="53" t="str">
        <f aca="false">IFERROR(IF(ABS(D16)&lt;0.05,"&lt;&lt;&lt; close to the implied rate",IF(D16&lt;0,"below today's price","above today's price")),"")</f>
        <v>above today's price</v>
      </c>
    </row>
    <row r="17" customFormat="false" ht="15" hidden="false" customHeight="false" outlineLevel="0" collapsed="false">
      <c r="B17" s="54" t="n">
        <v>0.18</v>
      </c>
      <c r="C17" s="55" t="n">
        <f aca="false">IFERROR((((Assumptions!$C$12*(1+$B17)*(Assumptions!$C$13*(1-Assumptions!$C$14)+Assumptions!$C$15-Assumptions!$C$16)-Assumptions!$C$12*$B17*Assumptions!$C$17)*(1+$B17)^0/(1+Assumptions!$C$31)^1+(Assumptions!$C$12*(1+$B17)*(Assumptions!$C$13*(1-Assumptions!$C$14)+Assumptions!$C$15-Assumptions!$C$16)-Assumptions!$C$12*$B17*Assumptions!$C$17)*(1+$B17)^1/(1+Assumptions!$C$31)^2+(Assumptions!$C$12*(1+$B17)*(Assumptions!$C$13*(1-Assumptions!$C$14)+Assumptions!$C$15-Assumptions!$C$16)-Assumptions!$C$12*$B17*Assumptions!$C$17)*(1+$B17)^2/(1+Assumptions!$C$31)^3+(Assumptions!$C$12*(1+$B17)*(Assumptions!$C$13*(1-Assumptions!$C$14)+Assumptions!$C$15-Assumptions!$C$16)-Assumptions!$C$12*$B17*Assumptions!$C$17)*(1+$B17)^3/(1+Assumptions!$C$31)^4+(Assumptions!$C$12*(1+$B17)*(Assumptions!$C$13*(1-Assumptions!$C$14)+Assumptions!$C$15-Assumptions!$C$16)-Assumptions!$C$12*$B17*Assumptions!$C$17)*(1+$B17)^4/(1+Assumptions!$C$31)^5+(Assumptions!$C$12*(1+$B17)*(Assumptions!$C$13*(1-Assumptions!$C$14)+Assumptions!$C$15-Assumptions!$C$16)-Assumptions!$C$12*$B17*Assumptions!$C$17)*(1+$B17)^5/(1+Assumptions!$C$31)^6+(Assumptions!$C$12*(1+$B17)*(Assumptions!$C$13*(1-Assumptions!$C$14)+Assumptions!$C$15-Assumptions!$C$16)-Assumptions!$C$12*$B17*Assumptions!$C$17)*(1+$B17)^6/(1+Assumptions!$C$31)^7+(Assumptions!$C$12*(1+$B17)*(Assumptions!$C$13*(1-Assumptions!$C$14)+Assumptions!$C$15-Assumptions!$C$16)-Assumptions!$C$12*$B17*Assumptions!$C$17)*(1+$B17)^7/(1+Assumptions!$C$31)^8+(Assumptions!$C$12*(1+$B17)*(Assumptions!$C$13*(1-Assumptions!$C$14)+Assumptions!$C$15-Assumptions!$C$16)-Assumptions!$C$12*$B17*Assumptions!$C$17)*(1+$B17)^8/(1+Assumptions!$C$31)^9+(Assumptions!$C$12*(1+$B17)*(Assumptions!$C$13*(1-Assumptions!$C$14)+Assumptions!$C$15-Assumptions!$C$16)-Assumptions!$C$12*$B17*Assumptions!$C$17)*(1+$B17)^9/(1+Assumptions!$C$31)^10)+(Assumptions!$C$12*(1+$B17)*(Assumptions!$C$13*(1-Assumptions!$C$14)+Assumptions!$C$15-Assumptions!$C$16)-Assumptions!$C$12*$B17*Assumptions!$C$17)*(1+$B17)^9*(1+Assumptions!$C$34)/(Assumptions!$C$31-Assumptions!$C$34)/(1+Assumptions!$C$31)^10-Assumptions!$C$22)/Assumptions!$C$9,NA())</f>
        <v>60.4530350864314</v>
      </c>
      <c r="D17" s="40" t="n">
        <f aca="false">IFERROR(C17/Assumptions!$C$7-1,NA())</f>
        <v>0.88915734645098</v>
      </c>
      <c r="E17" s="56" t="str">
        <f aca="false">IFERROR(IF(ABS(D17)&lt;0.05,"&lt;&lt;&lt; close to the implied rate",IF(D17&lt;0,"below today's price","above today's price")),"")</f>
        <v>above today's price</v>
      </c>
    </row>
    <row r="18" customFormat="false" ht="15" hidden="false" customHeight="false" outlineLevel="0" collapsed="false">
      <c r="B18" s="50" t="n">
        <v>0.2</v>
      </c>
      <c r="C18" s="51" t="n">
        <f aca="false">IFERROR((((Assumptions!$C$12*(1+$B18)*(Assumptions!$C$13*(1-Assumptions!$C$14)+Assumptions!$C$15-Assumptions!$C$16)-Assumptions!$C$12*$B18*Assumptions!$C$17)*(1+$B18)^0/(1+Assumptions!$C$31)^1+(Assumptions!$C$12*(1+$B18)*(Assumptions!$C$13*(1-Assumptions!$C$14)+Assumptions!$C$15-Assumptions!$C$16)-Assumptions!$C$12*$B18*Assumptions!$C$17)*(1+$B18)^1/(1+Assumptions!$C$31)^2+(Assumptions!$C$12*(1+$B18)*(Assumptions!$C$13*(1-Assumptions!$C$14)+Assumptions!$C$15-Assumptions!$C$16)-Assumptions!$C$12*$B18*Assumptions!$C$17)*(1+$B18)^2/(1+Assumptions!$C$31)^3+(Assumptions!$C$12*(1+$B18)*(Assumptions!$C$13*(1-Assumptions!$C$14)+Assumptions!$C$15-Assumptions!$C$16)-Assumptions!$C$12*$B18*Assumptions!$C$17)*(1+$B18)^3/(1+Assumptions!$C$31)^4+(Assumptions!$C$12*(1+$B18)*(Assumptions!$C$13*(1-Assumptions!$C$14)+Assumptions!$C$15-Assumptions!$C$16)-Assumptions!$C$12*$B18*Assumptions!$C$17)*(1+$B18)^4/(1+Assumptions!$C$31)^5+(Assumptions!$C$12*(1+$B18)*(Assumptions!$C$13*(1-Assumptions!$C$14)+Assumptions!$C$15-Assumptions!$C$16)-Assumptions!$C$12*$B18*Assumptions!$C$17)*(1+$B18)^5/(1+Assumptions!$C$31)^6+(Assumptions!$C$12*(1+$B18)*(Assumptions!$C$13*(1-Assumptions!$C$14)+Assumptions!$C$15-Assumptions!$C$16)-Assumptions!$C$12*$B18*Assumptions!$C$17)*(1+$B18)^6/(1+Assumptions!$C$31)^7+(Assumptions!$C$12*(1+$B18)*(Assumptions!$C$13*(1-Assumptions!$C$14)+Assumptions!$C$15-Assumptions!$C$16)-Assumptions!$C$12*$B18*Assumptions!$C$17)*(1+$B18)^7/(1+Assumptions!$C$31)^8+(Assumptions!$C$12*(1+$B18)*(Assumptions!$C$13*(1-Assumptions!$C$14)+Assumptions!$C$15-Assumptions!$C$16)-Assumptions!$C$12*$B18*Assumptions!$C$17)*(1+$B18)^8/(1+Assumptions!$C$31)^9+(Assumptions!$C$12*(1+$B18)*(Assumptions!$C$13*(1-Assumptions!$C$14)+Assumptions!$C$15-Assumptions!$C$16)-Assumptions!$C$12*$B18*Assumptions!$C$17)*(1+$B18)^9/(1+Assumptions!$C$31)^10)+(Assumptions!$C$12*(1+$B18)*(Assumptions!$C$13*(1-Assumptions!$C$14)+Assumptions!$C$15-Assumptions!$C$16)-Assumptions!$C$12*$B18*Assumptions!$C$17)*(1+$B18)^9*(1+Assumptions!$C$34)/(Assumptions!$C$31-Assumptions!$C$34)/(1+Assumptions!$C$31)^10-Assumptions!$C$22)/Assumptions!$C$9,NA())</f>
        <v>69.1048012096538</v>
      </c>
      <c r="D18" s="52" t="n">
        <f aca="false">IFERROR(C18/Assumptions!$C$7-1,NA())</f>
        <v>1.15952503780168</v>
      </c>
      <c r="E18" s="53" t="str">
        <f aca="false">IFERROR(IF(ABS(D18)&lt;0.05,"&lt;&lt;&lt; close to the implied rate",IF(D18&lt;0,"below today's price","above today's price")),"")</f>
        <v>above today's price</v>
      </c>
    </row>
    <row r="19" customFormat="false" ht="15" hidden="false" customHeight="false" outlineLevel="0" collapsed="false">
      <c r="B19" s="54" t="n">
        <v>0.22</v>
      </c>
      <c r="C19" s="55" t="n">
        <f aca="false">IFERROR((((Assumptions!$C$12*(1+$B19)*(Assumptions!$C$13*(1-Assumptions!$C$14)+Assumptions!$C$15-Assumptions!$C$16)-Assumptions!$C$12*$B19*Assumptions!$C$17)*(1+$B19)^0/(1+Assumptions!$C$31)^1+(Assumptions!$C$12*(1+$B19)*(Assumptions!$C$13*(1-Assumptions!$C$14)+Assumptions!$C$15-Assumptions!$C$16)-Assumptions!$C$12*$B19*Assumptions!$C$17)*(1+$B19)^1/(1+Assumptions!$C$31)^2+(Assumptions!$C$12*(1+$B19)*(Assumptions!$C$13*(1-Assumptions!$C$14)+Assumptions!$C$15-Assumptions!$C$16)-Assumptions!$C$12*$B19*Assumptions!$C$17)*(1+$B19)^2/(1+Assumptions!$C$31)^3+(Assumptions!$C$12*(1+$B19)*(Assumptions!$C$13*(1-Assumptions!$C$14)+Assumptions!$C$15-Assumptions!$C$16)-Assumptions!$C$12*$B19*Assumptions!$C$17)*(1+$B19)^3/(1+Assumptions!$C$31)^4+(Assumptions!$C$12*(1+$B19)*(Assumptions!$C$13*(1-Assumptions!$C$14)+Assumptions!$C$15-Assumptions!$C$16)-Assumptions!$C$12*$B19*Assumptions!$C$17)*(1+$B19)^4/(1+Assumptions!$C$31)^5+(Assumptions!$C$12*(1+$B19)*(Assumptions!$C$13*(1-Assumptions!$C$14)+Assumptions!$C$15-Assumptions!$C$16)-Assumptions!$C$12*$B19*Assumptions!$C$17)*(1+$B19)^5/(1+Assumptions!$C$31)^6+(Assumptions!$C$12*(1+$B19)*(Assumptions!$C$13*(1-Assumptions!$C$14)+Assumptions!$C$15-Assumptions!$C$16)-Assumptions!$C$12*$B19*Assumptions!$C$17)*(1+$B19)^6/(1+Assumptions!$C$31)^7+(Assumptions!$C$12*(1+$B19)*(Assumptions!$C$13*(1-Assumptions!$C$14)+Assumptions!$C$15-Assumptions!$C$16)-Assumptions!$C$12*$B19*Assumptions!$C$17)*(1+$B19)^7/(1+Assumptions!$C$31)^8+(Assumptions!$C$12*(1+$B19)*(Assumptions!$C$13*(1-Assumptions!$C$14)+Assumptions!$C$15-Assumptions!$C$16)-Assumptions!$C$12*$B19*Assumptions!$C$17)*(1+$B19)^8/(1+Assumptions!$C$31)^9+(Assumptions!$C$12*(1+$B19)*(Assumptions!$C$13*(1-Assumptions!$C$14)+Assumptions!$C$15-Assumptions!$C$16)-Assumptions!$C$12*$B19*Assumptions!$C$17)*(1+$B19)^9/(1+Assumptions!$C$31)^10)+(Assumptions!$C$12*(1+$B19)*(Assumptions!$C$13*(1-Assumptions!$C$14)+Assumptions!$C$15-Assumptions!$C$16)-Assumptions!$C$12*$B19*Assumptions!$C$17)*(1+$B19)^9*(1+Assumptions!$C$34)/(Assumptions!$C$31-Assumptions!$C$34)/(1+Assumptions!$C$31)^10-Assumptions!$C$22)/Assumptions!$C$9,NA())</f>
        <v>78.9682602326119</v>
      </c>
      <c r="D19" s="40" t="n">
        <f aca="false">IFERROR(C19/Assumptions!$C$7-1,NA())</f>
        <v>1.46775813226912</v>
      </c>
      <c r="E19" s="56" t="str">
        <f aca="false">IFERROR(IF(ABS(D19)&lt;0.05,"&lt;&lt;&lt; close to the implied rate",IF(D19&lt;0,"below today's price","above today's price")),"")</f>
        <v>above today's price</v>
      </c>
    </row>
    <row r="20" customFormat="false" ht="15" hidden="false" customHeight="false" outlineLevel="0" collapsed="false">
      <c r="B20" s="50" t="n">
        <v>0.24</v>
      </c>
      <c r="C20" s="51" t="n">
        <f aca="false">IFERROR((((Assumptions!$C$12*(1+$B20)*(Assumptions!$C$13*(1-Assumptions!$C$14)+Assumptions!$C$15-Assumptions!$C$16)-Assumptions!$C$12*$B20*Assumptions!$C$17)*(1+$B20)^0/(1+Assumptions!$C$31)^1+(Assumptions!$C$12*(1+$B20)*(Assumptions!$C$13*(1-Assumptions!$C$14)+Assumptions!$C$15-Assumptions!$C$16)-Assumptions!$C$12*$B20*Assumptions!$C$17)*(1+$B20)^1/(1+Assumptions!$C$31)^2+(Assumptions!$C$12*(1+$B20)*(Assumptions!$C$13*(1-Assumptions!$C$14)+Assumptions!$C$15-Assumptions!$C$16)-Assumptions!$C$12*$B20*Assumptions!$C$17)*(1+$B20)^2/(1+Assumptions!$C$31)^3+(Assumptions!$C$12*(1+$B20)*(Assumptions!$C$13*(1-Assumptions!$C$14)+Assumptions!$C$15-Assumptions!$C$16)-Assumptions!$C$12*$B20*Assumptions!$C$17)*(1+$B20)^3/(1+Assumptions!$C$31)^4+(Assumptions!$C$12*(1+$B20)*(Assumptions!$C$13*(1-Assumptions!$C$14)+Assumptions!$C$15-Assumptions!$C$16)-Assumptions!$C$12*$B20*Assumptions!$C$17)*(1+$B20)^4/(1+Assumptions!$C$31)^5+(Assumptions!$C$12*(1+$B20)*(Assumptions!$C$13*(1-Assumptions!$C$14)+Assumptions!$C$15-Assumptions!$C$16)-Assumptions!$C$12*$B20*Assumptions!$C$17)*(1+$B20)^5/(1+Assumptions!$C$31)^6+(Assumptions!$C$12*(1+$B20)*(Assumptions!$C$13*(1-Assumptions!$C$14)+Assumptions!$C$15-Assumptions!$C$16)-Assumptions!$C$12*$B20*Assumptions!$C$17)*(1+$B20)^6/(1+Assumptions!$C$31)^7+(Assumptions!$C$12*(1+$B20)*(Assumptions!$C$13*(1-Assumptions!$C$14)+Assumptions!$C$15-Assumptions!$C$16)-Assumptions!$C$12*$B20*Assumptions!$C$17)*(1+$B20)^7/(1+Assumptions!$C$31)^8+(Assumptions!$C$12*(1+$B20)*(Assumptions!$C$13*(1-Assumptions!$C$14)+Assumptions!$C$15-Assumptions!$C$16)-Assumptions!$C$12*$B20*Assumptions!$C$17)*(1+$B20)^8/(1+Assumptions!$C$31)^9+(Assumptions!$C$12*(1+$B20)*(Assumptions!$C$13*(1-Assumptions!$C$14)+Assumptions!$C$15-Assumptions!$C$16)-Assumptions!$C$12*$B20*Assumptions!$C$17)*(1+$B20)^9/(1+Assumptions!$C$31)^10)+(Assumptions!$C$12*(1+$B20)*(Assumptions!$C$13*(1-Assumptions!$C$14)+Assumptions!$C$15-Assumptions!$C$16)-Assumptions!$C$12*$B20*Assumptions!$C$17)*(1+$B20)^9*(1+Assumptions!$C$34)/(Assumptions!$C$31-Assumptions!$C$34)/(1+Assumptions!$C$31)^10-Assumptions!$C$22)/Assumptions!$C$9,NA())</f>
        <v>90.1954966063596</v>
      </c>
      <c r="D20" s="52" t="n">
        <f aca="false">IFERROR(C20/Assumptions!$C$7-1,NA())</f>
        <v>1.81860926894874</v>
      </c>
      <c r="E20" s="53" t="str">
        <f aca="false">IFERROR(IF(ABS(D20)&lt;0.05,"&lt;&lt;&lt; close to the implied rate",IF(D20&lt;0,"below today's price","above today's price")),"")</f>
        <v>above today's price</v>
      </c>
    </row>
    <row r="21" customFormat="false" ht="15" hidden="false" customHeight="false" outlineLevel="0" collapsed="false">
      <c r="B21" s="54" t="n">
        <v>0.26</v>
      </c>
      <c r="C21" s="55" t="n">
        <f aca="false">IFERROR((((Assumptions!$C$12*(1+$B21)*(Assumptions!$C$13*(1-Assumptions!$C$14)+Assumptions!$C$15-Assumptions!$C$16)-Assumptions!$C$12*$B21*Assumptions!$C$17)*(1+$B21)^0/(1+Assumptions!$C$31)^1+(Assumptions!$C$12*(1+$B21)*(Assumptions!$C$13*(1-Assumptions!$C$14)+Assumptions!$C$15-Assumptions!$C$16)-Assumptions!$C$12*$B21*Assumptions!$C$17)*(1+$B21)^1/(1+Assumptions!$C$31)^2+(Assumptions!$C$12*(1+$B21)*(Assumptions!$C$13*(1-Assumptions!$C$14)+Assumptions!$C$15-Assumptions!$C$16)-Assumptions!$C$12*$B21*Assumptions!$C$17)*(1+$B21)^2/(1+Assumptions!$C$31)^3+(Assumptions!$C$12*(1+$B21)*(Assumptions!$C$13*(1-Assumptions!$C$14)+Assumptions!$C$15-Assumptions!$C$16)-Assumptions!$C$12*$B21*Assumptions!$C$17)*(1+$B21)^3/(1+Assumptions!$C$31)^4+(Assumptions!$C$12*(1+$B21)*(Assumptions!$C$13*(1-Assumptions!$C$14)+Assumptions!$C$15-Assumptions!$C$16)-Assumptions!$C$12*$B21*Assumptions!$C$17)*(1+$B21)^4/(1+Assumptions!$C$31)^5+(Assumptions!$C$12*(1+$B21)*(Assumptions!$C$13*(1-Assumptions!$C$14)+Assumptions!$C$15-Assumptions!$C$16)-Assumptions!$C$12*$B21*Assumptions!$C$17)*(1+$B21)^5/(1+Assumptions!$C$31)^6+(Assumptions!$C$12*(1+$B21)*(Assumptions!$C$13*(1-Assumptions!$C$14)+Assumptions!$C$15-Assumptions!$C$16)-Assumptions!$C$12*$B21*Assumptions!$C$17)*(1+$B21)^6/(1+Assumptions!$C$31)^7+(Assumptions!$C$12*(1+$B21)*(Assumptions!$C$13*(1-Assumptions!$C$14)+Assumptions!$C$15-Assumptions!$C$16)-Assumptions!$C$12*$B21*Assumptions!$C$17)*(1+$B21)^7/(1+Assumptions!$C$31)^8+(Assumptions!$C$12*(1+$B21)*(Assumptions!$C$13*(1-Assumptions!$C$14)+Assumptions!$C$15-Assumptions!$C$16)-Assumptions!$C$12*$B21*Assumptions!$C$17)*(1+$B21)^8/(1+Assumptions!$C$31)^9+(Assumptions!$C$12*(1+$B21)*(Assumptions!$C$13*(1-Assumptions!$C$14)+Assumptions!$C$15-Assumptions!$C$16)-Assumptions!$C$12*$B21*Assumptions!$C$17)*(1+$B21)^9/(1+Assumptions!$C$31)^10)+(Assumptions!$C$12*(1+$B21)*(Assumptions!$C$13*(1-Assumptions!$C$14)+Assumptions!$C$15-Assumptions!$C$16)-Assumptions!$C$12*$B21*Assumptions!$C$17)*(1+$B21)^9*(1+Assumptions!$C$34)/(Assumptions!$C$31-Assumptions!$C$34)/(1+Assumptions!$C$31)^10-Assumptions!$C$22)/Assumptions!$C$9,NA())</f>
        <v>102.955149924926</v>
      </c>
      <c r="D21" s="40" t="n">
        <f aca="false">IFERROR(C21/Assumptions!$C$7-1,NA())</f>
        <v>2.21734843515392</v>
      </c>
      <c r="E21" s="56" t="str">
        <f aca="false">IFERROR(IF(ABS(D21)&lt;0.05,"&lt;&lt;&lt; close to the implied rate",IF(D21&lt;0,"below today's price","above today's price")),"")</f>
        <v>above today's price</v>
      </c>
    </row>
    <row r="22" customFormat="false" ht="15" hidden="false" customHeight="false" outlineLevel="0" collapsed="false">
      <c r="B22" s="50" t="n">
        <v>0.28</v>
      </c>
      <c r="C22" s="51" t="n">
        <f aca="false">IFERROR((((Assumptions!$C$12*(1+$B22)*(Assumptions!$C$13*(1-Assumptions!$C$14)+Assumptions!$C$15-Assumptions!$C$16)-Assumptions!$C$12*$B22*Assumptions!$C$17)*(1+$B22)^0/(1+Assumptions!$C$31)^1+(Assumptions!$C$12*(1+$B22)*(Assumptions!$C$13*(1-Assumptions!$C$14)+Assumptions!$C$15-Assumptions!$C$16)-Assumptions!$C$12*$B22*Assumptions!$C$17)*(1+$B22)^1/(1+Assumptions!$C$31)^2+(Assumptions!$C$12*(1+$B22)*(Assumptions!$C$13*(1-Assumptions!$C$14)+Assumptions!$C$15-Assumptions!$C$16)-Assumptions!$C$12*$B22*Assumptions!$C$17)*(1+$B22)^2/(1+Assumptions!$C$31)^3+(Assumptions!$C$12*(1+$B22)*(Assumptions!$C$13*(1-Assumptions!$C$14)+Assumptions!$C$15-Assumptions!$C$16)-Assumptions!$C$12*$B22*Assumptions!$C$17)*(1+$B22)^3/(1+Assumptions!$C$31)^4+(Assumptions!$C$12*(1+$B22)*(Assumptions!$C$13*(1-Assumptions!$C$14)+Assumptions!$C$15-Assumptions!$C$16)-Assumptions!$C$12*$B22*Assumptions!$C$17)*(1+$B22)^4/(1+Assumptions!$C$31)^5+(Assumptions!$C$12*(1+$B22)*(Assumptions!$C$13*(1-Assumptions!$C$14)+Assumptions!$C$15-Assumptions!$C$16)-Assumptions!$C$12*$B22*Assumptions!$C$17)*(1+$B22)^5/(1+Assumptions!$C$31)^6+(Assumptions!$C$12*(1+$B22)*(Assumptions!$C$13*(1-Assumptions!$C$14)+Assumptions!$C$15-Assumptions!$C$16)-Assumptions!$C$12*$B22*Assumptions!$C$17)*(1+$B22)^6/(1+Assumptions!$C$31)^7+(Assumptions!$C$12*(1+$B22)*(Assumptions!$C$13*(1-Assumptions!$C$14)+Assumptions!$C$15-Assumptions!$C$16)-Assumptions!$C$12*$B22*Assumptions!$C$17)*(1+$B22)^7/(1+Assumptions!$C$31)^8+(Assumptions!$C$12*(1+$B22)*(Assumptions!$C$13*(1-Assumptions!$C$14)+Assumptions!$C$15-Assumptions!$C$16)-Assumptions!$C$12*$B22*Assumptions!$C$17)*(1+$B22)^8/(1+Assumptions!$C$31)^9+(Assumptions!$C$12*(1+$B22)*(Assumptions!$C$13*(1-Assumptions!$C$14)+Assumptions!$C$15-Assumptions!$C$16)-Assumptions!$C$12*$B22*Assumptions!$C$17)*(1+$B22)^9/(1+Assumptions!$C$31)^10)+(Assumptions!$C$12*(1+$B22)*(Assumptions!$C$13*(1-Assumptions!$C$14)+Assumptions!$C$15-Assumptions!$C$16)-Assumptions!$C$12*$B22*Assumptions!$C$17)*(1+$B22)^9*(1+Assumptions!$C$34)/(Assumptions!$C$31-Assumptions!$C$34)/(1+Assumptions!$C$31)^10-Assumptions!$C$22)/Assumptions!$C$9,NA())</f>
        <v>117.433935358801</v>
      </c>
      <c r="D22" s="52" t="n">
        <f aca="false">IFERROR(C22/Assumptions!$C$7-1,NA())</f>
        <v>2.66981047996254</v>
      </c>
      <c r="E22" s="53" t="str">
        <f aca="false">IFERROR(IF(ABS(D22)&lt;0.05,"&lt;&lt;&lt; close to the implied rate",IF(D22&lt;0,"below today's price","above today's price")),"")</f>
        <v>above today's price</v>
      </c>
    </row>
    <row r="23" customFormat="false" ht="15" hidden="false" customHeight="false" outlineLevel="0" collapsed="false">
      <c r="B23" s="54" t="n">
        <v>0.3</v>
      </c>
      <c r="C23" s="55" t="n">
        <f aca="false">IFERROR((((Assumptions!$C$12*(1+$B23)*(Assumptions!$C$13*(1-Assumptions!$C$14)+Assumptions!$C$15-Assumptions!$C$16)-Assumptions!$C$12*$B23*Assumptions!$C$17)*(1+$B23)^0/(1+Assumptions!$C$31)^1+(Assumptions!$C$12*(1+$B23)*(Assumptions!$C$13*(1-Assumptions!$C$14)+Assumptions!$C$15-Assumptions!$C$16)-Assumptions!$C$12*$B23*Assumptions!$C$17)*(1+$B23)^1/(1+Assumptions!$C$31)^2+(Assumptions!$C$12*(1+$B23)*(Assumptions!$C$13*(1-Assumptions!$C$14)+Assumptions!$C$15-Assumptions!$C$16)-Assumptions!$C$12*$B23*Assumptions!$C$17)*(1+$B23)^2/(1+Assumptions!$C$31)^3+(Assumptions!$C$12*(1+$B23)*(Assumptions!$C$13*(1-Assumptions!$C$14)+Assumptions!$C$15-Assumptions!$C$16)-Assumptions!$C$12*$B23*Assumptions!$C$17)*(1+$B23)^3/(1+Assumptions!$C$31)^4+(Assumptions!$C$12*(1+$B23)*(Assumptions!$C$13*(1-Assumptions!$C$14)+Assumptions!$C$15-Assumptions!$C$16)-Assumptions!$C$12*$B23*Assumptions!$C$17)*(1+$B23)^4/(1+Assumptions!$C$31)^5+(Assumptions!$C$12*(1+$B23)*(Assumptions!$C$13*(1-Assumptions!$C$14)+Assumptions!$C$15-Assumptions!$C$16)-Assumptions!$C$12*$B23*Assumptions!$C$17)*(1+$B23)^5/(1+Assumptions!$C$31)^6+(Assumptions!$C$12*(1+$B23)*(Assumptions!$C$13*(1-Assumptions!$C$14)+Assumptions!$C$15-Assumptions!$C$16)-Assumptions!$C$12*$B23*Assumptions!$C$17)*(1+$B23)^6/(1+Assumptions!$C$31)^7+(Assumptions!$C$12*(1+$B23)*(Assumptions!$C$13*(1-Assumptions!$C$14)+Assumptions!$C$15-Assumptions!$C$16)-Assumptions!$C$12*$B23*Assumptions!$C$17)*(1+$B23)^7/(1+Assumptions!$C$31)^8+(Assumptions!$C$12*(1+$B23)*(Assumptions!$C$13*(1-Assumptions!$C$14)+Assumptions!$C$15-Assumptions!$C$16)-Assumptions!$C$12*$B23*Assumptions!$C$17)*(1+$B23)^8/(1+Assumptions!$C$31)^9+(Assumptions!$C$12*(1+$B23)*(Assumptions!$C$13*(1-Assumptions!$C$14)+Assumptions!$C$15-Assumptions!$C$16)-Assumptions!$C$12*$B23*Assumptions!$C$17)*(1+$B23)^9/(1+Assumptions!$C$31)^10)+(Assumptions!$C$12*(1+$B23)*(Assumptions!$C$13*(1-Assumptions!$C$14)+Assumptions!$C$15-Assumptions!$C$16)-Assumptions!$C$12*$B23*Assumptions!$C$17)*(1+$B23)^9*(1+Assumptions!$C$34)/(Assumptions!$C$31-Assumptions!$C$34)/(1+Assumptions!$C$31)^10-Assumptions!$C$22)/Assumptions!$C$9,NA())</f>
        <v>133.838278187031</v>
      </c>
      <c r="D23" s="40" t="n">
        <f aca="false">IFERROR(C23/Assumptions!$C$7-1,NA())</f>
        <v>3.18244619334473</v>
      </c>
      <c r="E23" s="56" t="str">
        <f aca="false">IFERROR(IF(ABS(D23)&lt;0.05,"&lt;&lt;&lt; close to the implied rate",IF(D23&lt;0,"below today's price","above today's price")),"")</f>
        <v>above today's price</v>
      </c>
    </row>
    <row r="24" customFormat="false" ht="15" hidden="false" customHeight="false" outlineLevel="0" collapsed="false">
      <c r="B24" s="50" t="n">
        <v>0.32</v>
      </c>
      <c r="C24" s="51" t="n">
        <f aca="false">IFERROR((((Assumptions!$C$12*(1+$B24)*(Assumptions!$C$13*(1-Assumptions!$C$14)+Assumptions!$C$15-Assumptions!$C$16)-Assumptions!$C$12*$B24*Assumptions!$C$17)*(1+$B24)^0/(1+Assumptions!$C$31)^1+(Assumptions!$C$12*(1+$B24)*(Assumptions!$C$13*(1-Assumptions!$C$14)+Assumptions!$C$15-Assumptions!$C$16)-Assumptions!$C$12*$B24*Assumptions!$C$17)*(1+$B24)^1/(1+Assumptions!$C$31)^2+(Assumptions!$C$12*(1+$B24)*(Assumptions!$C$13*(1-Assumptions!$C$14)+Assumptions!$C$15-Assumptions!$C$16)-Assumptions!$C$12*$B24*Assumptions!$C$17)*(1+$B24)^2/(1+Assumptions!$C$31)^3+(Assumptions!$C$12*(1+$B24)*(Assumptions!$C$13*(1-Assumptions!$C$14)+Assumptions!$C$15-Assumptions!$C$16)-Assumptions!$C$12*$B24*Assumptions!$C$17)*(1+$B24)^3/(1+Assumptions!$C$31)^4+(Assumptions!$C$12*(1+$B24)*(Assumptions!$C$13*(1-Assumptions!$C$14)+Assumptions!$C$15-Assumptions!$C$16)-Assumptions!$C$12*$B24*Assumptions!$C$17)*(1+$B24)^4/(1+Assumptions!$C$31)^5+(Assumptions!$C$12*(1+$B24)*(Assumptions!$C$13*(1-Assumptions!$C$14)+Assumptions!$C$15-Assumptions!$C$16)-Assumptions!$C$12*$B24*Assumptions!$C$17)*(1+$B24)^5/(1+Assumptions!$C$31)^6+(Assumptions!$C$12*(1+$B24)*(Assumptions!$C$13*(1-Assumptions!$C$14)+Assumptions!$C$15-Assumptions!$C$16)-Assumptions!$C$12*$B24*Assumptions!$C$17)*(1+$B24)^6/(1+Assumptions!$C$31)^7+(Assumptions!$C$12*(1+$B24)*(Assumptions!$C$13*(1-Assumptions!$C$14)+Assumptions!$C$15-Assumptions!$C$16)-Assumptions!$C$12*$B24*Assumptions!$C$17)*(1+$B24)^7/(1+Assumptions!$C$31)^8+(Assumptions!$C$12*(1+$B24)*(Assumptions!$C$13*(1-Assumptions!$C$14)+Assumptions!$C$15-Assumptions!$C$16)-Assumptions!$C$12*$B24*Assumptions!$C$17)*(1+$B24)^8/(1+Assumptions!$C$31)^9+(Assumptions!$C$12*(1+$B24)*(Assumptions!$C$13*(1-Assumptions!$C$14)+Assumptions!$C$15-Assumptions!$C$16)-Assumptions!$C$12*$B24*Assumptions!$C$17)*(1+$B24)^9/(1+Assumptions!$C$31)^10)+(Assumptions!$C$12*(1+$B24)*(Assumptions!$C$13*(1-Assumptions!$C$14)+Assumptions!$C$15-Assumptions!$C$16)-Assumptions!$C$12*$B24*Assumptions!$C$17)*(1+$B24)^9*(1+Assumptions!$C$34)/(Assumptions!$C$31-Assumptions!$C$34)/(1+Assumptions!$C$31)^10-Assumptions!$C$22)/Assumptions!$C$9,NA())</f>
        <v>152.396069125336</v>
      </c>
      <c r="D24" s="52" t="n">
        <f aca="false">IFERROR(C24/Assumptions!$C$7-1,NA())</f>
        <v>3.76237716016674</v>
      </c>
      <c r="E24" s="53" t="str">
        <f aca="false">IFERROR(IF(ABS(D24)&lt;0.05,"&lt;&lt;&lt; close to the implied rate",IF(D24&lt;0,"below today's price","above today's price")),"")</f>
        <v>above today's price</v>
      </c>
    </row>
    <row r="25" customFormat="false" ht="15" hidden="false" customHeight="false" outlineLevel="0" collapsed="false">
      <c r="B25" s="54" t="n">
        <v>0.34</v>
      </c>
      <c r="C25" s="55" t="n">
        <f aca="false">IFERROR((((Assumptions!$C$12*(1+$B25)*(Assumptions!$C$13*(1-Assumptions!$C$14)+Assumptions!$C$15-Assumptions!$C$16)-Assumptions!$C$12*$B25*Assumptions!$C$17)*(1+$B25)^0/(1+Assumptions!$C$31)^1+(Assumptions!$C$12*(1+$B25)*(Assumptions!$C$13*(1-Assumptions!$C$14)+Assumptions!$C$15-Assumptions!$C$16)-Assumptions!$C$12*$B25*Assumptions!$C$17)*(1+$B25)^1/(1+Assumptions!$C$31)^2+(Assumptions!$C$12*(1+$B25)*(Assumptions!$C$13*(1-Assumptions!$C$14)+Assumptions!$C$15-Assumptions!$C$16)-Assumptions!$C$12*$B25*Assumptions!$C$17)*(1+$B25)^2/(1+Assumptions!$C$31)^3+(Assumptions!$C$12*(1+$B25)*(Assumptions!$C$13*(1-Assumptions!$C$14)+Assumptions!$C$15-Assumptions!$C$16)-Assumptions!$C$12*$B25*Assumptions!$C$17)*(1+$B25)^3/(1+Assumptions!$C$31)^4+(Assumptions!$C$12*(1+$B25)*(Assumptions!$C$13*(1-Assumptions!$C$14)+Assumptions!$C$15-Assumptions!$C$16)-Assumptions!$C$12*$B25*Assumptions!$C$17)*(1+$B25)^4/(1+Assumptions!$C$31)^5+(Assumptions!$C$12*(1+$B25)*(Assumptions!$C$13*(1-Assumptions!$C$14)+Assumptions!$C$15-Assumptions!$C$16)-Assumptions!$C$12*$B25*Assumptions!$C$17)*(1+$B25)^5/(1+Assumptions!$C$31)^6+(Assumptions!$C$12*(1+$B25)*(Assumptions!$C$13*(1-Assumptions!$C$14)+Assumptions!$C$15-Assumptions!$C$16)-Assumptions!$C$12*$B25*Assumptions!$C$17)*(1+$B25)^6/(1+Assumptions!$C$31)^7+(Assumptions!$C$12*(1+$B25)*(Assumptions!$C$13*(1-Assumptions!$C$14)+Assumptions!$C$15-Assumptions!$C$16)-Assumptions!$C$12*$B25*Assumptions!$C$17)*(1+$B25)^7/(1+Assumptions!$C$31)^8+(Assumptions!$C$12*(1+$B25)*(Assumptions!$C$13*(1-Assumptions!$C$14)+Assumptions!$C$15-Assumptions!$C$16)-Assumptions!$C$12*$B25*Assumptions!$C$17)*(1+$B25)^8/(1+Assumptions!$C$31)^9+(Assumptions!$C$12*(1+$B25)*(Assumptions!$C$13*(1-Assumptions!$C$14)+Assumptions!$C$15-Assumptions!$C$16)-Assumptions!$C$12*$B25*Assumptions!$C$17)*(1+$B25)^9/(1+Assumptions!$C$31)^10)+(Assumptions!$C$12*(1+$B25)*(Assumptions!$C$13*(1-Assumptions!$C$14)+Assumptions!$C$15-Assumptions!$C$16)-Assumptions!$C$12*$B25*Assumptions!$C$17)*(1+$B25)^9*(1+Assumptions!$C$34)/(Assumptions!$C$31-Assumptions!$C$34)/(1+Assumptions!$C$31)^10-Assumptions!$C$22)/Assumptions!$C$9,NA())</f>
        <v>173.358547435194</v>
      </c>
      <c r="D25" s="40" t="n">
        <f aca="false">IFERROR(C25/Assumptions!$C$7-1,NA())</f>
        <v>4.41745460734983</v>
      </c>
      <c r="E25" s="56" t="str">
        <f aca="false">IFERROR(IF(ABS(D25)&lt;0.05,"&lt;&lt;&lt; close to the implied rate",IF(D25&lt;0,"below today's price","above today's price")),"")</f>
        <v>above today's price</v>
      </c>
    </row>
    <row r="26" customFormat="false" ht="15" hidden="false" customHeight="false" outlineLevel="0" collapsed="false">
      <c r="B26" s="50" t="n">
        <v>0.36</v>
      </c>
      <c r="C26" s="51" t="n">
        <f aca="false">IFERROR((((Assumptions!$C$12*(1+$B26)*(Assumptions!$C$13*(1-Assumptions!$C$14)+Assumptions!$C$15-Assumptions!$C$16)-Assumptions!$C$12*$B26*Assumptions!$C$17)*(1+$B26)^0/(1+Assumptions!$C$31)^1+(Assumptions!$C$12*(1+$B26)*(Assumptions!$C$13*(1-Assumptions!$C$14)+Assumptions!$C$15-Assumptions!$C$16)-Assumptions!$C$12*$B26*Assumptions!$C$17)*(1+$B26)^1/(1+Assumptions!$C$31)^2+(Assumptions!$C$12*(1+$B26)*(Assumptions!$C$13*(1-Assumptions!$C$14)+Assumptions!$C$15-Assumptions!$C$16)-Assumptions!$C$12*$B26*Assumptions!$C$17)*(1+$B26)^2/(1+Assumptions!$C$31)^3+(Assumptions!$C$12*(1+$B26)*(Assumptions!$C$13*(1-Assumptions!$C$14)+Assumptions!$C$15-Assumptions!$C$16)-Assumptions!$C$12*$B26*Assumptions!$C$17)*(1+$B26)^3/(1+Assumptions!$C$31)^4+(Assumptions!$C$12*(1+$B26)*(Assumptions!$C$13*(1-Assumptions!$C$14)+Assumptions!$C$15-Assumptions!$C$16)-Assumptions!$C$12*$B26*Assumptions!$C$17)*(1+$B26)^4/(1+Assumptions!$C$31)^5+(Assumptions!$C$12*(1+$B26)*(Assumptions!$C$13*(1-Assumptions!$C$14)+Assumptions!$C$15-Assumptions!$C$16)-Assumptions!$C$12*$B26*Assumptions!$C$17)*(1+$B26)^5/(1+Assumptions!$C$31)^6+(Assumptions!$C$12*(1+$B26)*(Assumptions!$C$13*(1-Assumptions!$C$14)+Assumptions!$C$15-Assumptions!$C$16)-Assumptions!$C$12*$B26*Assumptions!$C$17)*(1+$B26)^6/(1+Assumptions!$C$31)^7+(Assumptions!$C$12*(1+$B26)*(Assumptions!$C$13*(1-Assumptions!$C$14)+Assumptions!$C$15-Assumptions!$C$16)-Assumptions!$C$12*$B26*Assumptions!$C$17)*(1+$B26)^7/(1+Assumptions!$C$31)^8+(Assumptions!$C$12*(1+$B26)*(Assumptions!$C$13*(1-Assumptions!$C$14)+Assumptions!$C$15-Assumptions!$C$16)-Assumptions!$C$12*$B26*Assumptions!$C$17)*(1+$B26)^8/(1+Assumptions!$C$31)^9+(Assumptions!$C$12*(1+$B26)*(Assumptions!$C$13*(1-Assumptions!$C$14)+Assumptions!$C$15-Assumptions!$C$16)-Assumptions!$C$12*$B26*Assumptions!$C$17)*(1+$B26)^9/(1+Assumptions!$C$31)^10)+(Assumptions!$C$12*(1+$B26)*(Assumptions!$C$13*(1-Assumptions!$C$14)+Assumptions!$C$15-Assumptions!$C$16)-Assumptions!$C$12*$B26*Assumptions!$C$17)*(1+$B26)^9*(1+Assumptions!$C$34)/(Assumptions!$C$31-Assumptions!$C$34)/(1+Assumptions!$C$31)^10-Assumptions!$C$22)/Assumptions!$C$9,NA())</f>
        <v>197.002319094329</v>
      </c>
      <c r="D26" s="52" t="n">
        <f aca="false">IFERROR(C26/Assumptions!$C$7-1,NA())</f>
        <v>5.15632247169779</v>
      </c>
      <c r="E26" s="53" t="str">
        <f aca="false">IFERROR(IF(ABS(D26)&lt;0.05,"&lt;&lt;&lt; close to the implied rate",IF(D26&lt;0,"below today's price","above today's price")),"")</f>
        <v>above today's price</v>
      </c>
    </row>
    <row r="27" customFormat="false" ht="15" hidden="false" customHeight="false" outlineLevel="0" collapsed="false">
      <c r="B27" s="54" t="n">
        <v>0.38</v>
      </c>
      <c r="C27" s="55" t="n">
        <f aca="false">IFERROR((((Assumptions!$C$12*(1+$B27)*(Assumptions!$C$13*(1-Assumptions!$C$14)+Assumptions!$C$15-Assumptions!$C$16)-Assumptions!$C$12*$B27*Assumptions!$C$17)*(1+$B27)^0/(1+Assumptions!$C$31)^1+(Assumptions!$C$12*(1+$B27)*(Assumptions!$C$13*(1-Assumptions!$C$14)+Assumptions!$C$15-Assumptions!$C$16)-Assumptions!$C$12*$B27*Assumptions!$C$17)*(1+$B27)^1/(1+Assumptions!$C$31)^2+(Assumptions!$C$12*(1+$B27)*(Assumptions!$C$13*(1-Assumptions!$C$14)+Assumptions!$C$15-Assumptions!$C$16)-Assumptions!$C$12*$B27*Assumptions!$C$17)*(1+$B27)^2/(1+Assumptions!$C$31)^3+(Assumptions!$C$12*(1+$B27)*(Assumptions!$C$13*(1-Assumptions!$C$14)+Assumptions!$C$15-Assumptions!$C$16)-Assumptions!$C$12*$B27*Assumptions!$C$17)*(1+$B27)^3/(1+Assumptions!$C$31)^4+(Assumptions!$C$12*(1+$B27)*(Assumptions!$C$13*(1-Assumptions!$C$14)+Assumptions!$C$15-Assumptions!$C$16)-Assumptions!$C$12*$B27*Assumptions!$C$17)*(1+$B27)^4/(1+Assumptions!$C$31)^5+(Assumptions!$C$12*(1+$B27)*(Assumptions!$C$13*(1-Assumptions!$C$14)+Assumptions!$C$15-Assumptions!$C$16)-Assumptions!$C$12*$B27*Assumptions!$C$17)*(1+$B27)^5/(1+Assumptions!$C$31)^6+(Assumptions!$C$12*(1+$B27)*(Assumptions!$C$13*(1-Assumptions!$C$14)+Assumptions!$C$15-Assumptions!$C$16)-Assumptions!$C$12*$B27*Assumptions!$C$17)*(1+$B27)^6/(1+Assumptions!$C$31)^7+(Assumptions!$C$12*(1+$B27)*(Assumptions!$C$13*(1-Assumptions!$C$14)+Assumptions!$C$15-Assumptions!$C$16)-Assumptions!$C$12*$B27*Assumptions!$C$17)*(1+$B27)^7/(1+Assumptions!$C$31)^8+(Assumptions!$C$12*(1+$B27)*(Assumptions!$C$13*(1-Assumptions!$C$14)+Assumptions!$C$15-Assumptions!$C$16)-Assumptions!$C$12*$B27*Assumptions!$C$17)*(1+$B27)^8/(1+Assumptions!$C$31)^9+(Assumptions!$C$12*(1+$B27)*(Assumptions!$C$13*(1-Assumptions!$C$14)+Assumptions!$C$15-Assumptions!$C$16)-Assumptions!$C$12*$B27*Assumptions!$C$17)*(1+$B27)^9/(1+Assumptions!$C$31)^10)+(Assumptions!$C$12*(1+$B27)*(Assumptions!$C$13*(1-Assumptions!$C$14)+Assumptions!$C$15-Assumptions!$C$16)-Assumptions!$C$12*$B27*Assumptions!$C$17)*(1+$B27)^9*(1+Assumptions!$C$34)/(Assumptions!$C$31-Assumptions!$C$34)/(1+Assumptions!$C$31)^10-Assumptions!$C$22)/Assumptions!$C$9,NA())</f>
        <v>223.631517612625</v>
      </c>
      <c r="D27" s="40" t="n">
        <f aca="false">IFERROR(C27/Assumptions!$C$7-1,NA())</f>
        <v>5.98848492539454</v>
      </c>
      <c r="E27" s="56" t="str">
        <f aca="false">IFERROR(IF(ABS(D27)&lt;0.05,"&lt;&lt;&lt; close to the implied rate",IF(D27&lt;0,"below today's price","above today's price")),"")</f>
        <v>above today's price</v>
      </c>
    </row>
    <row r="28" customFormat="false" ht="15" hidden="false" customHeight="false" outlineLevel="0" collapsed="false">
      <c r="B28" s="50" t="n">
        <v>0.4</v>
      </c>
      <c r="C28" s="51" t="n">
        <f aca="false">IFERROR((((Assumptions!$C$12*(1+$B28)*(Assumptions!$C$13*(1-Assumptions!$C$14)+Assumptions!$C$15-Assumptions!$C$16)-Assumptions!$C$12*$B28*Assumptions!$C$17)*(1+$B28)^0/(1+Assumptions!$C$31)^1+(Assumptions!$C$12*(1+$B28)*(Assumptions!$C$13*(1-Assumptions!$C$14)+Assumptions!$C$15-Assumptions!$C$16)-Assumptions!$C$12*$B28*Assumptions!$C$17)*(1+$B28)^1/(1+Assumptions!$C$31)^2+(Assumptions!$C$12*(1+$B28)*(Assumptions!$C$13*(1-Assumptions!$C$14)+Assumptions!$C$15-Assumptions!$C$16)-Assumptions!$C$12*$B28*Assumptions!$C$17)*(1+$B28)^2/(1+Assumptions!$C$31)^3+(Assumptions!$C$12*(1+$B28)*(Assumptions!$C$13*(1-Assumptions!$C$14)+Assumptions!$C$15-Assumptions!$C$16)-Assumptions!$C$12*$B28*Assumptions!$C$17)*(1+$B28)^3/(1+Assumptions!$C$31)^4+(Assumptions!$C$12*(1+$B28)*(Assumptions!$C$13*(1-Assumptions!$C$14)+Assumptions!$C$15-Assumptions!$C$16)-Assumptions!$C$12*$B28*Assumptions!$C$17)*(1+$B28)^4/(1+Assumptions!$C$31)^5+(Assumptions!$C$12*(1+$B28)*(Assumptions!$C$13*(1-Assumptions!$C$14)+Assumptions!$C$15-Assumptions!$C$16)-Assumptions!$C$12*$B28*Assumptions!$C$17)*(1+$B28)^5/(1+Assumptions!$C$31)^6+(Assumptions!$C$12*(1+$B28)*(Assumptions!$C$13*(1-Assumptions!$C$14)+Assumptions!$C$15-Assumptions!$C$16)-Assumptions!$C$12*$B28*Assumptions!$C$17)*(1+$B28)^6/(1+Assumptions!$C$31)^7+(Assumptions!$C$12*(1+$B28)*(Assumptions!$C$13*(1-Assumptions!$C$14)+Assumptions!$C$15-Assumptions!$C$16)-Assumptions!$C$12*$B28*Assumptions!$C$17)*(1+$B28)^7/(1+Assumptions!$C$31)^8+(Assumptions!$C$12*(1+$B28)*(Assumptions!$C$13*(1-Assumptions!$C$14)+Assumptions!$C$15-Assumptions!$C$16)-Assumptions!$C$12*$B28*Assumptions!$C$17)*(1+$B28)^8/(1+Assumptions!$C$31)^9+(Assumptions!$C$12*(1+$B28)*(Assumptions!$C$13*(1-Assumptions!$C$14)+Assumptions!$C$15-Assumptions!$C$16)-Assumptions!$C$12*$B28*Assumptions!$C$17)*(1+$B28)^9/(1+Assumptions!$C$31)^10)+(Assumptions!$C$12*(1+$B28)*(Assumptions!$C$13*(1-Assumptions!$C$14)+Assumptions!$C$15-Assumptions!$C$16)-Assumptions!$C$12*$B28*Assumptions!$C$17)*(1+$B28)^9*(1+Assumptions!$C$34)/(Assumptions!$C$31-Assumptions!$C$34)/(1+Assumptions!$C$31)^10-Assumptions!$C$22)/Assumptions!$C$9,NA())</f>
        <v>253.580115389348</v>
      </c>
      <c r="D28" s="52" t="n">
        <f aca="false">IFERROR(C28/Assumptions!$C$7-1,NA())</f>
        <v>6.92437860591712</v>
      </c>
      <c r="E28" s="53" t="str">
        <f aca="false">IFERROR(IF(ABS(D28)&lt;0.05,"&lt;&lt;&lt; close to the implied rate",IF(D28&lt;0,"below today's price","above today's price")),"")</f>
        <v>above today's price</v>
      </c>
    </row>
    <row r="30" customFormat="false" ht="57.75" hidden="false" customHeight="true" outlineLevel="0" collapsed="false">
      <c r="B30" s="19" t="s">
        <v>149</v>
      </c>
      <c r="C30" s="19"/>
      <c r="D30" s="19"/>
      <c r="E30" s="19"/>
    </row>
  </sheetData>
  <mergeCells count="2">
    <mergeCell ref="B5:E5"/>
    <mergeCell ref="B30:E30"/>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LibreOffice/24.2.7.2$Linux_X86_64 LibreOffice_project/420$Build-2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2026-08-15T21:51:42Z</dcterms:created>
  <dc:creator>openpyxl</dc:creator>
  <dc:description/>
  <dc:language>en-US</dc:language>
  <cp:lastModifiedBy/>
  <dcterms:modified xsi:type="dcterms:W3CDTF">2026-08-15T21:51:42Z</dcterms:modified>
  <cp:revision>0</cp:revision>
  <dc:subject/>
  <dc:title/>
</cp:coreProperties>
</file>

<file path=docProps/custom.xml><?xml version="1.0" encoding="utf-8"?>
<Properties xmlns="http://schemas.openxmlformats.org/officeDocument/2006/custom-properties" xmlns:vt="http://schemas.openxmlformats.org/officeDocument/2006/docPropsVTypes"/>
</file>